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codeName="ThisWorkbook"/>
  <mc:AlternateContent xmlns:mc="http://schemas.openxmlformats.org/markup-compatibility/2006">
    <mc:Choice Requires="x15">
      <x15ac:absPath xmlns:x15ac="http://schemas.microsoft.com/office/spreadsheetml/2010/11/ac" url="C:\Users\RunaHR\Desktop\Documentos Runa\Simuladores\"/>
    </mc:Choice>
  </mc:AlternateContent>
  <xr:revisionPtr revIDLastSave="0" documentId="13_ncr:1_{A5B5CD5E-2D63-4310-A555-BD987DD6AE65}" xr6:coauthVersionLast="38" xr6:coauthVersionMax="38" xr10:uidLastSave="{00000000-0000-0000-0000-000000000000}"/>
  <workbookProtection workbookAlgorithmName="SHA-512" workbookHashValue="D7ymoXwCQq7HOtIJtDXVfM0K1lcYnRmy/X7T6eyyp0XD+Hu3XZJt/F1EuYy9oBWYpnnN8NcmQW8jZq8ZVqPW1Q==" workbookSaltValue="6jB9tUyU0e2fIQtjw9qKUw==" workbookSpinCount="100000" lockStructure="1"/>
  <bookViews>
    <workbookView xWindow="0" yWindow="0" windowWidth="20490" windowHeight="7485" tabRatio="674" xr2:uid="{00000000-000D-0000-FFFF-FFFF00000000}"/>
  </bookViews>
  <sheets>
    <sheet name="Formato" sheetId="21" r:id="rId1"/>
    <sheet name="FINIQUITO" sheetId="13" state="hidden" r:id="rId2"/>
    <sheet name="IMSS" sheetId="9" state="hidden" r:id="rId3"/>
    <sheet name="ISR" sheetId="8" state="hidden" r:id="rId4"/>
    <sheet name="SBC" sheetId="23" state="hidden" r:id="rId5"/>
    <sheet name="Tablas de Prestaciones" sheetId="11" state="hidden" r:id="rId6"/>
    <sheet name="S. Paquete T 2" sheetId="19" state="hidden" r:id="rId7"/>
    <sheet name="S. Paquete T 1" sheetId="20" state="hidden" r:id="rId8"/>
  </sheets>
  <externalReferences>
    <externalReference r:id="rId9"/>
    <externalReference r:id="rId10"/>
    <externalReference r:id="rId11"/>
  </externalReferences>
  <definedNames>
    <definedName name="__TAB113">[1]TABLAS!$G$11:$J$15</definedName>
    <definedName name="__TAB114">[1]TABLAS!$G$21:$J$28</definedName>
    <definedName name="__TAB115">[1]TABLAS!$G$34:$J$46</definedName>
    <definedName name="__TAB177">#REF!</definedName>
    <definedName name="__TAB178">#REF!</definedName>
    <definedName name="__TAB80">[1]TOLUCA!#REF!</definedName>
    <definedName name="_TAB113">[1]TABLAS!$G$11:$J$15</definedName>
    <definedName name="_TAB114">[1]TABLAS!$G$21:$J$28</definedName>
    <definedName name="_TAB115">[1]TABLAS!$G$34:$J$46</definedName>
    <definedName name="_TAB177">#REF!</definedName>
    <definedName name="_TAB178">#REF!</definedName>
    <definedName name="_TAB80">[1]TOLUCA!#REF!</definedName>
    <definedName name="_xlnm.Print_Area" localSheetId="1">FINIQUITO!$A$1:$G$80</definedName>
    <definedName name="_xlnm.Print_Area" localSheetId="0">Formato!$G$2:$M$41</definedName>
    <definedName name="_xlnm.Print_Area" localSheetId="2">IMSS!$B$3:$H$54</definedName>
    <definedName name="_xlnm.Print_Area">#REF!</definedName>
    <definedName name="BASEFIN">#REF!</definedName>
    <definedName name="BEZARES">#REF!</definedName>
    <definedName name="DC">[2]TABLAS!$G$11:$H$13</definedName>
    <definedName name="FIR">[3]TABLAS!$G$11:$J$17</definedName>
    <definedName name="PRINT_AREA_MI">#REF!</definedName>
    <definedName name="TAB">[3]TABLAS!$B$21:$E$28</definedName>
    <definedName name="TABLA">[3]Cálculo!#REF!</definedName>
    <definedName name="TABTOLUCA">#REF!</definedName>
    <definedName name="TABVACA">[1]TABLAS!$M$3:$O$7</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3" l="1"/>
  <c r="C4" i="23" s="1"/>
  <c r="K4" i="23" s="1"/>
  <c r="G34" i="13"/>
  <c r="I4" i="23" s="1"/>
  <c r="G33" i="13"/>
  <c r="G4" i="23" s="1"/>
  <c r="E21" i="13"/>
  <c r="B14" i="13"/>
  <c r="B51" i="13" s="1"/>
  <c r="B17" i="13"/>
  <c r="B15" i="13"/>
  <c r="D4" i="23" s="1"/>
  <c r="H2" i="23"/>
  <c r="L2" i="23" s="1"/>
  <c r="A4" i="23" l="1"/>
  <c r="B16" i="13"/>
  <c r="B4" i="23" s="1"/>
  <c r="E4" i="23"/>
  <c r="J4" i="23"/>
  <c r="C7" i="9" l="1"/>
  <c r="C13" i="9"/>
  <c r="D13" i="9"/>
  <c r="E13" i="9"/>
  <c r="F20" i="9"/>
  <c r="C26" i="9"/>
  <c r="D26" i="9"/>
  <c r="E26" i="9"/>
  <c r="F35" i="9"/>
  <c r="D3" i="9"/>
  <c r="C19" i="8"/>
  <c r="B24" i="13"/>
  <c r="B37" i="13" s="1"/>
  <c r="F28" i="13"/>
  <c r="C39" i="13" s="1"/>
  <c r="G28" i="13"/>
  <c r="B20" i="13"/>
  <c r="G43" i="13" s="1"/>
  <c r="F27" i="13"/>
  <c r="G8" i="19"/>
  <c r="Z43" i="13"/>
  <c r="AA43" i="13"/>
  <c r="Z44" i="13"/>
  <c r="AA44" i="13"/>
  <c r="Z45" i="13"/>
  <c r="AA45" i="13"/>
  <c r="Z46" i="13"/>
  <c r="AA46" i="13"/>
  <c r="Z47" i="13"/>
  <c r="AA47" i="13"/>
  <c r="Z48" i="13"/>
  <c r="AA48" i="13"/>
  <c r="Z49" i="13"/>
  <c r="AA49" i="13"/>
  <c r="Z50" i="13"/>
  <c r="AA50" i="13"/>
  <c r="Z51" i="13"/>
  <c r="AA51" i="13"/>
  <c r="Z52" i="13"/>
  <c r="AA52" i="13"/>
  <c r="Z53" i="13"/>
  <c r="AA53" i="13"/>
  <c r="Z41" i="13"/>
  <c r="Z65" i="13"/>
  <c r="Z42" i="13"/>
  <c r="AA42" i="13"/>
  <c r="B18" i="13"/>
  <c r="I9" i="21" s="1"/>
  <c r="C17" i="13"/>
  <c r="B23" i="13" s="1"/>
  <c r="C46" i="13" s="1"/>
  <c r="E46" i="13" s="1"/>
  <c r="C4" i="19"/>
  <c r="F2" i="19" s="1"/>
  <c r="C74" i="13"/>
  <c r="AA64" i="13"/>
  <c r="AA62" i="13"/>
  <c r="AA60" i="13"/>
  <c r="AA58" i="13"/>
  <c r="AA56" i="13"/>
  <c r="AA54" i="13"/>
  <c r="Z64" i="13"/>
  <c r="Z63" i="13"/>
  <c r="AA63" i="13"/>
  <c r="Z62" i="13"/>
  <c r="Z61" i="13"/>
  <c r="AA61" i="13"/>
  <c r="Z60" i="13"/>
  <c r="Z59" i="13"/>
  <c r="AA59" i="13"/>
  <c r="Z58" i="13"/>
  <c r="Z57" i="13"/>
  <c r="AA57" i="13"/>
  <c r="Z56" i="13"/>
  <c r="Z55" i="13"/>
  <c r="AA55" i="13"/>
  <c r="Z54" i="13"/>
  <c r="C71" i="13"/>
  <c r="C64" i="13"/>
  <c r="C66" i="13"/>
  <c r="C69" i="13"/>
  <c r="C44" i="13"/>
  <c r="E44" i="13"/>
  <c r="D41" i="13"/>
  <c r="E41" i="13"/>
  <c r="C9" i="9"/>
  <c r="C73" i="13"/>
  <c r="C72" i="13"/>
  <c r="Y65" i="13"/>
  <c r="C70" i="13"/>
  <c r="K4" i="19"/>
  <c r="N42" i="13"/>
  <c r="C10" i="9"/>
  <c r="I15" i="8"/>
  <c r="I14" i="8"/>
  <c r="I13" i="8"/>
  <c r="I12" i="8"/>
  <c r="I11" i="8"/>
  <c r="I10" i="8"/>
  <c r="I9" i="8"/>
  <c r="I8" i="8"/>
  <c r="I7" i="8"/>
  <c r="I6" i="8"/>
  <c r="C4" i="20"/>
  <c r="B52" i="13"/>
  <c r="F9" i="11"/>
  <c r="F10" i="11" s="1"/>
  <c r="F11" i="11" s="1"/>
  <c r="F12" i="11" s="1"/>
  <c r="F13" i="11" s="1"/>
  <c r="F14" i="11" s="1"/>
  <c r="F15" i="11" s="1"/>
  <c r="F16" i="11" s="1"/>
  <c r="F17" i="11" s="1"/>
  <c r="F18" i="11" s="1"/>
  <c r="F19" i="11" s="1"/>
  <c r="F20" i="11" s="1"/>
  <c r="F21" i="11" s="1"/>
  <c r="F22" i="11" s="1"/>
  <c r="F23" i="11" s="1"/>
  <c r="F24" i="11" s="1"/>
  <c r="F25" i="11" s="1"/>
  <c r="F26" i="11" s="1"/>
  <c r="F27" i="11" s="1"/>
  <c r="F28" i="11" s="1"/>
  <c r="F29" i="11" s="1"/>
  <c r="F30" i="11" s="1"/>
  <c r="F31" i="11" s="1"/>
  <c r="F32" i="11" s="1"/>
  <c r="F33" i="11" s="1"/>
  <c r="F34" i="11" s="1"/>
  <c r="F35" i="11" s="1"/>
  <c r="F36" i="11" s="1"/>
  <c r="F37" i="11" s="1"/>
  <c r="F38" i="11" s="1"/>
  <c r="F39" i="11" s="1"/>
  <c r="F40" i="11" s="1"/>
  <c r="F41" i="11" s="1"/>
  <c r="F42" i="11" s="1"/>
  <c r="F43" i="11" s="1"/>
  <c r="F44" i="11" s="1"/>
  <c r="F45" i="11" s="1"/>
  <c r="F46" i="11" s="1"/>
  <c r="F47" i="11" s="1"/>
  <c r="F48" i="11" s="1"/>
  <c r="F49" i="11" s="1"/>
  <c r="F50" i="11" s="1"/>
  <c r="G7" i="13"/>
  <c r="D2" i="8"/>
  <c r="D25" i="8"/>
  <c r="E25" i="8"/>
  <c r="E27" i="8"/>
  <c r="G25" i="8"/>
  <c r="C43" i="13"/>
  <c r="E43" i="13"/>
  <c r="Q39" i="13"/>
  <c r="R39" i="13"/>
  <c r="L35" i="13"/>
  <c r="L33" i="13"/>
  <c r="K33" i="13"/>
  <c r="J33" i="13"/>
  <c r="O33" i="13"/>
  <c r="S33" i="13"/>
  <c r="C88" i="13"/>
  <c r="C29" i="8" s="1"/>
  <c r="C30" i="8" s="1"/>
  <c r="C32" i="8" s="1"/>
  <c r="L31" i="13"/>
  <c r="L38" i="13" s="1"/>
  <c r="K38" i="13" s="1"/>
  <c r="J38" i="13" s="1"/>
  <c r="O38" i="13" s="1"/>
  <c r="S38" i="13" s="1"/>
  <c r="L30" i="13"/>
  <c r="J30" i="13" s="1"/>
  <c r="O30" i="13" s="1"/>
  <c r="K7" i="19"/>
  <c r="I19" i="19"/>
  <c r="AA41" i="13"/>
  <c r="K35" i="13"/>
  <c r="J35" i="13"/>
  <c r="O35" i="13"/>
  <c r="S35" i="13"/>
  <c r="H2" i="19"/>
  <c r="K4" i="20"/>
  <c r="F1" i="19"/>
  <c r="C65" i="13"/>
  <c r="H2" i="20"/>
  <c r="F1" i="20"/>
  <c r="K7" i="20"/>
  <c r="AA65" i="13"/>
  <c r="C42" i="13"/>
  <c r="D42" i="13"/>
  <c r="E42" i="13"/>
  <c r="E2" i="8"/>
  <c r="E5" i="8"/>
  <c r="G2" i="8"/>
  <c r="E17" i="8"/>
  <c r="G26" i="8"/>
  <c r="E28" i="8"/>
  <c r="E26" i="8"/>
  <c r="D26" i="8"/>
  <c r="E39" i="8"/>
  <c r="F8" i="19"/>
  <c r="I22" i="19"/>
  <c r="G23" i="19"/>
  <c r="I18" i="19"/>
  <c r="G11" i="19"/>
  <c r="G24" i="19"/>
  <c r="I11" i="19"/>
  <c r="I25" i="19"/>
  <c r="I9" i="19"/>
  <c r="G12" i="19"/>
  <c r="G13" i="19"/>
  <c r="G17" i="19"/>
  <c r="I17" i="19"/>
  <c r="G3" i="8"/>
  <c r="E6" i="8"/>
  <c r="E3" i="8"/>
  <c r="D3" i="8"/>
  <c r="C38" i="13"/>
  <c r="G2" i="19"/>
  <c r="H14" i="19" s="1"/>
  <c r="H17" i="19"/>
  <c r="H26" i="19"/>
  <c r="H22" i="19"/>
  <c r="G19" i="19" l="1"/>
  <c r="I23" i="19"/>
  <c r="G16" i="19"/>
  <c r="I27" i="19"/>
  <c r="G18" i="19"/>
  <c r="I24" i="19"/>
  <c r="G26" i="19"/>
  <c r="G20" i="19"/>
  <c r="I11" i="21"/>
  <c r="I19" i="20"/>
  <c r="I10" i="20"/>
  <c r="C33" i="13"/>
  <c r="E33" i="13" s="1"/>
  <c r="I10" i="19"/>
  <c r="G27" i="19"/>
  <c r="I26" i="19"/>
  <c r="I14" i="19"/>
  <c r="G9" i="19"/>
  <c r="G10" i="19"/>
  <c r="I15" i="19"/>
  <c r="G14" i="19"/>
  <c r="C68" i="13"/>
  <c r="I23" i="20"/>
  <c r="J31" i="13"/>
  <c r="O31" i="13" s="1"/>
  <c r="I24" i="20"/>
  <c r="I14" i="20"/>
  <c r="I15" i="20"/>
  <c r="I8" i="20"/>
  <c r="I11" i="20"/>
  <c r="I26" i="20"/>
  <c r="G17" i="20"/>
  <c r="I18" i="20"/>
  <c r="G19" i="20"/>
  <c r="I13" i="20"/>
  <c r="I25" i="20"/>
  <c r="I17" i="20"/>
  <c r="I9" i="20"/>
  <c r="I16" i="20"/>
  <c r="G20" i="20"/>
  <c r="G10" i="20"/>
  <c r="I22" i="20"/>
  <c r="I20" i="20"/>
  <c r="G35" i="8"/>
  <c r="C33" i="8"/>
  <c r="C34" i="8" s="1"/>
  <c r="E36" i="8"/>
  <c r="E34" i="8"/>
  <c r="C38" i="8"/>
  <c r="E29" i="8"/>
  <c r="E30" i="8" s="1"/>
  <c r="C36" i="8"/>
  <c r="F23" i="19"/>
  <c r="F24" i="19"/>
  <c r="J24" i="19" s="1"/>
  <c r="D24" i="19" s="1"/>
  <c r="F25" i="19"/>
  <c r="F27" i="19"/>
  <c r="F16" i="19"/>
  <c r="F14" i="19"/>
  <c r="F26" i="19"/>
  <c r="F12" i="19"/>
  <c r="F15" i="19"/>
  <c r="F9" i="19"/>
  <c r="F10" i="19"/>
  <c r="F21" i="19"/>
  <c r="F13" i="19"/>
  <c r="F11" i="19"/>
  <c r="J11" i="19" s="1"/>
  <c r="F19" i="19"/>
  <c r="J19" i="19" s="1"/>
  <c r="F17" i="19"/>
  <c r="J17" i="19" s="1"/>
  <c r="F20" i="19"/>
  <c r="F18" i="19"/>
  <c r="J18" i="19" s="1"/>
  <c r="D18" i="19" s="1"/>
  <c r="F22" i="19"/>
  <c r="G2" i="20"/>
  <c r="G23" i="20" s="1"/>
  <c r="F2" i="20"/>
  <c r="F10" i="20" s="1"/>
  <c r="I21" i="20"/>
  <c r="G22" i="20"/>
  <c r="I12" i="20"/>
  <c r="G21" i="20"/>
  <c r="I27" i="20"/>
  <c r="I13" i="19"/>
  <c r="I20" i="19"/>
  <c r="G15" i="19"/>
  <c r="G22" i="19"/>
  <c r="I12" i="19"/>
  <c r="I21" i="19"/>
  <c r="G21" i="19"/>
  <c r="G25" i="19"/>
  <c r="I16" i="19"/>
  <c r="I8" i="19"/>
  <c r="J8" i="19" s="1"/>
  <c r="L22" i="13"/>
  <c r="C37" i="13"/>
  <c r="I19" i="21" s="1"/>
  <c r="B53" i="13"/>
  <c r="B32" i="13"/>
  <c r="C32" i="13" s="1"/>
  <c r="E32" i="13" s="1"/>
  <c r="C8" i="9"/>
  <c r="D18" i="9" s="1"/>
  <c r="G18" i="9" s="1"/>
  <c r="C40" i="13"/>
  <c r="D40" i="13" s="1"/>
  <c r="E40" i="13" s="1"/>
  <c r="C67" i="13"/>
  <c r="Q42" i="13"/>
  <c r="R42" i="13" s="1"/>
  <c r="D39" i="13"/>
  <c r="E39" i="13" s="1"/>
  <c r="C18" i="13"/>
  <c r="G32" i="13" s="1"/>
  <c r="B35" i="13" s="1"/>
  <c r="C35" i="13" s="1"/>
  <c r="I27" i="21" s="1"/>
  <c r="C47" i="13"/>
  <c r="E47" i="13" s="1"/>
  <c r="H21" i="19"/>
  <c r="H8" i="19"/>
  <c r="H10" i="19"/>
  <c r="H20" i="19"/>
  <c r="H12" i="19"/>
  <c r="H27" i="19"/>
  <c r="H11" i="19"/>
  <c r="H13" i="19"/>
  <c r="H16" i="19"/>
  <c r="H23" i="19"/>
  <c r="H15" i="19"/>
  <c r="H18" i="19"/>
  <c r="H9" i="19"/>
  <c r="H19" i="19"/>
  <c r="H25" i="19"/>
  <c r="H24" i="19"/>
  <c r="E38" i="13"/>
  <c r="B25" i="13"/>
  <c r="B54" i="13" s="1"/>
  <c r="G9" i="20" l="1"/>
  <c r="G15" i="20"/>
  <c r="G26" i="20"/>
  <c r="G16" i="20"/>
  <c r="G24" i="20"/>
  <c r="G25" i="20"/>
  <c r="G14" i="20"/>
  <c r="G18" i="20"/>
  <c r="G8" i="20"/>
  <c r="G11" i="20"/>
  <c r="G27" i="20"/>
  <c r="G12" i="20"/>
  <c r="G13" i="20"/>
  <c r="J20" i="19"/>
  <c r="C20" i="19" s="1"/>
  <c r="J23" i="19"/>
  <c r="D23" i="19" s="1"/>
  <c r="J9" i="19"/>
  <c r="D9" i="19" s="1"/>
  <c r="J15" i="19"/>
  <c r="C15" i="19" s="1"/>
  <c r="J10" i="20"/>
  <c r="D10" i="20" s="1"/>
  <c r="J16" i="19"/>
  <c r="D16" i="19" s="1"/>
  <c r="J13" i="19"/>
  <c r="C13" i="19" s="1"/>
  <c r="J27" i="19"/>
  <c r="D27" i="19" s="1"/>
  <c r="J10" i="19"/>
  <c r="C10" i="19" s="1"/>
  <c r="J26" i="19"/>
  <c r="C26" i="19" s="1"/>
  <c r="I17" i="21"/>
  <c r="J14" i="19"/>
  <c r="C14" i="19" s="1"/>
  <c r="F9" i="20"/>
  <c r="J9" i="20" s="1"/>
  <c r="D9" i="20" s="1"/>
  <c r="D8" i="19"/>
  <c r="C8" i="19"/>
  <c r="D15" i="19"/>
  <c r="E15" i="19" s="1"/>
  <c r="K15" i="19" s="1"/>
  <c r="J12" i="19"/>
  <c r="F17" i="20"/>
  <c r="J17" i="20" s="1"/>
  <c r="D17" i="20" s="1"/>
  <c r="C11" i="19"/>
  <c r="D11" i="19"/>
  <c r="G22" i="13"/>
  <c r="B22" i="13" s="1"/>
  <c r="H22" i="13" s="1"/>
  <c r="W22" i="13" s="1"/>
  <c r="D37" i="13"/>
  <c r="E37" i="13" s="1"/>
  <c r="C19" i="19"/>
  <c r="D19" i="19"/>
  <c r="C17" i="19"/>
  <c r="D17" i="19"/>
  <c r="C24" i="19"/>
  <c r="E24" i="19" s="1"/>
  <c r="K24" i="19" s="1"/>
  <c r="J22" i="19"/>
  <c r="H24" i="20"/>
  <c r="H15" i="20"/>
  <c r="H8" i="20"/>
  <c r="H18" i="20"/>
  <c r="H11" i="20"/>
  <c r="H9" i="20"/>
  <c r="H19" i="20"/>
  <c r="H25" i="20"/>
  <c r="H10" i="20"/>
  <c r="H13" i="20"/>
  <c r="H12" i="20"/>
  <c r="H14" i="20"/>
  <c r="H17" i="20"/>
  <c r="H26" i="20"/>
  <c r="H16" i="20"/>
  <c r="H22" i="20"/>
  <c r="H23" i="20"/>
  <c r="H20" i="20"/>
  <c r="H21" i="20"/>
  <c r="H27" i="20"/>
  <c r="J25" i="19"/>
  <c r="D20" i="19"/>
  <c r="E20" i="19" s="1"/>
  <c r="K20" i="19" s="1"/>
  <c r="C18" i="19"/>
  <c r="E18" i="19" s="1"/>
  <c r="K18" i="19" s="1"/>
  <c r="C23" i="19"/>
  <c r="C10" i="20"/>
  <c r="J21" i="19"/>
  <c r="F21" i="20"/>
  <c r="J21" i="20" s="1"/>
  <c r="F26" i="20"/>
  <c r="J26" i="20" s="1"/>
  <c r="F18" i="20"/>
  <c r="F20" i="20"/>
  <c r="J20" i="20" s="1"/>
  <c r="F11" i="20"/>
  <c r="J11" i="20" s="1"/>
  <c r="F19" i="20"/>
  <c r="J19" i="20" s="1"/>
  <c r="F23" i="20"/>
  <c r="J23" i="20" s="1"/>
  <c r="F22" i="20"/>
  <c r="J22" i="20" s="1"/>
  <c r="F24" i="20"/>
  <c r="J24" i="20" s="1"/>
  <c r="F8" i="20"/>
  <c r="J8" i="20" s="1"/>
  <c r="F16" i="20"/>
  <c r="F14" i="20"/>
  <c r="J14" i="20" s="1"/>
  <c r="F27" i="20"/>
  <c r="J27" i="20" s="1"/>
  <c r="F12" i="20"/>
  <c r="F13" i="20"/>
  <c r="J13" i="20" s="1"/>
  <c r="F25" i="20"/>
  <c r="J25" i="20" s="1"/>
  <c r="F15" i="20"/>
  <c r="J15" i="20" s="1"/>
  <c r="E31" i="8"/>
  <c r="E32" i="8" s="1"/>
  <c r="E35" i="8" s="1"/>
  <c r="E37" i="8" s="1"/>
  <c r="E40" i="8" s="1"/>
  <c r="C37" i="8"/>
  <c r="C40" i="8" s="1"/>
  <c r="E16" i="9"/>
  <c r="G16" i="9" s="1"/>
  <c r="E30" i="9"/>
  <c r="G30" i="9" s="1"/>
  <c r="E27" i="9"/>
  <c r="G27" i="9" s="1"/>
  <c r="D32" i="9"/>
  <c r="G32" i="9" s="1"/>
  <c r="D48" i="9" s="1"/>
  <c r="E15" i="9"/>
  <c r="G15" i="9" s="1"/>
  <c r="C14" i="9"/>
  <c r="C20" i="9" s="1"/>
  <c r="C28" i="9"/>
  <c r="G28" i="9" s="1"/>
  <c r="E29" i="9"/>
  <c r="G29" i="9" s="1"/>
  <c r="D17" i="9"/>
  <c r="G17" i="9" s="1"/>
  <c r="D31" i="9"/>
  <c r="E36" i="9"/>
  <c r="G36" i="9" s="1"/>
  <c r="C52" i="9" s="1"/>
  <c r="D34" i="9"/>
  <c r="G34" i="9" s="1"/>
  <c r="D50" i="9" s="1"/>
  <c r="E35" i="9"/>
  <c r="G35" i="9" s="1"/>
  <c r="C51" i="9" s="1"/>
  <c r="E33" i="9"/>
  <c r="G33" i="9" s="1"/>
  <c r="D49" i="9" s="1"/>
  <c r="C63" i="13"/>
  <c r="E63" i="9" s="1"/>
  <c r="E19" i="13"/>
  <c r="B36" i="13" s="1"/>
  <c r="C36" i="13" s="1"/>
  <c r="F4" i="23"/>
  <c r="H4" i="23" s="1"/>
  <c r="L4" i="23" s="1"/>
  <c r="E35" i="13"/>
  <c r="J16" i="20" l="1"/>
  <c r="J18" i="20"/>
  <c r="J12" i="20"/>
  <c r="E23" i="19"/>
  <c r="K23" i="19" s="1"/>
  <c r="C9" i="19"/>
  <c r="E9" i="19" s="1"/>
  <c r="K9" i="19" s="1"/>
  <c r="C45" i="13"/>
  <c r="E45" i="13" s="1"/>
  <c r="C27" i="19"/>
  <c r="E27" i="19" s="1"/>
  <c r="K27" i="19" s="1"/>
  <c r="D26" i="19"/>
  <c r="E26" i="19" s="1"/>
  <c r="K26" i="19" s="1"/>
  <c r="C16" i="19"/>
  <c r="E16" i="19" s="1"/>
  <c r="K16" i="19" s="1"/>
  <c r="D13" i="19"/>
  <c r="E13" i="19" s="1"/>
  <c r="K13" i="19" s="1"/>
  <c r="E11" i="19"/>
  <c r="K11" i="19" s="1"/>
  <c r="D10" i="19"/>
  <c r="E10" i="19" s="1"/>
  <c r="K10" i="19" s="1"/>
  <c r="D14" i="19"/>
  <c r="E14" i="19" s="1"/>
  <c r="K14" i="19" s="1"/>
  <c r="G14" i="9"/>
  <c r="C44" i="9" s="1"/>
  <c r="E8" i="19"/>
  <c r="K8" i="19" s="1"/>
  <c r="C77" i="9"/>
  <c r="C17" i="20"/>
  <c r="E17" i="20" s="1"/>
  <c r="K17" i="20" s="1"/>
  <c r="D12" i="19"/>
  <c r="C12" i="19"/>
  <c r="C9" i="20"/>
  <c r="E9" i="20" s="1"/>
  <c r="K9" i="20" s="1"/>
  <c r="C72" i="9"/>
  <c r="E19" i="19"/>
  <c r="K19" i="19" s="1"/>
  <c r="C46" i="9"/>
  <c r="E20" i="9"/>
  <c r="G44" i="13"/>
  <c r="D36" i="13"/>
  <c r="D49" i="13" s="1"/>
  <c r="I28" i="21"/>
  <c r="G45" i="13"/>
  <c r="C27" i="20"/>
  <c r="D27" i="20"/>
  <c r="D21" i="20"/>
  <c r="C21" i="20"/>
  <c r="C12" i="20"/>
  <c r="D12" i="20"/>
  <c r="C8" i="20"/>
  <c r="D8" i="20"/>
  <c r="C26" i="20"/>
  <c r="D26" i="20"/>
  <c r="G33" i="8"/>
  <c r="G39" i="8"/>
  <c r="D88" i="13" s="1"/>
  <c r="E88" i="13" s="1"/>
  <c r="C15" i="20"/>
  <c r="D15" i="20"/>
  <c r="D11" i="20"/>
  <c r="C11" i="20"/>
  <c r="C25" i="20"/>
  <c r="D25" i="20"/>
  <c r="C14" i="20"/>
  <c r="D14" i="20"/>
  <c r="D22" i="20"/>
  <c r="C22" i="20"/>
  <c r="D20" i="20"/>
  <c r="C20" i="20"/>
  <c r="D22" i="19"/>
  <c r="C22" i="19"/>
  <c r="E17" i="19"/>
  <c r="K17" i="19" s="1"/>
  <c r="D19" i="20"/>
  <c r="C19" i="20"/>
  <c r="C21" i="19"/>
  <c r="D21" i="19"/>
  <c r="C24" i="20"/>
  <c r="D24" i="20"/>
  <c r="C13" i="20"/>
  <c r="D13" i="20"/>
  <c r="D16" i="20"/>
  <c r="C16" i="20"/>
  <c r="D23" i="20"/>
  <c r="C23" i="20"/>
  <c r="C18" i="20"/>
  <c r="D18" i="20"/>
  <c r="E10" i="20"/>
  <c r="K10" i="20" s="1"/>
  <c r="D25" i="19"/>
  <c r="C25" i="19"/>
  <c r="C38" i="9"/>
  <c r="D76" i="9"/>
  <c r="D38" i="9"/>
  <c r="D74" i="9"/>
  <c r="D54" i="9"/>
  <c r="D20" i="9"/>
  <c r="G31" i="9"/>
  <c r="C73" i="9" s="1"/>
  <c r="C78" i="9"/>
  <c r="E38" i="9"/>
  <c r="D75" i="9"/>
  <c r="C62" i="13"/>
  <c r="C71" i="9"/>
  <c r="C45" i="9"/>
  <c r="C43" i="9"/>
  <c r="C69" i="9"/>
  <c r="C49" i="13" l="1"/>
  <c r="G20" i="9"/>
  <c r="C70" i="9"/>
  <c r="E12" i="19"/>
  <c r="K12" i="19" s="1"/>
  <c r="G38" i="9"/>
  <c r="E16" i="20"/>
  <c r="K16" i="20" s="1"/>
  <c r="E19" i="20"/>
  <c r="K19" i="20" s="1"/>
  <c r="E22" i="19"/>
  <c r="K22" i="19" s="1"/>
  <c r="G49" i="13"/>
  <c r="C53" i="13" s="1"/>
  <c r="E25" i="19"/>
  <c r="K25" i="19" s="1"/>
  <c r="E22" i="20"/>
  <c r="K22" i="20" s="1"/>
  <c r="F22" i="9"/>
  <c r="E36" i="13"/>
  <c r="E49" i="13" s="1"/>
  <c r="C82" i="13" s="1"/>
  <c r="C84" i="13" s="1"/>
  <c r="C7" i="8" s="1"/>
  <c r="C8" i="8" s="1"/>
  <c r="C10" i="8" s="1"/>
  <c r="E13" i="20"/>
  <c r="K13" i="20" s="1"/>
  <c r="E20" i="20"/>
  <c r="K20" i="20" s="1"/>
  <c r="E11" i="20"/>
  <c r="K11" i="20" s="1"/>
  <c r="E21" i="20"/>
  <c r="K21" i="20" s="1"/>
  <c r="E14" i="20"/>
  <c r="K14" i="20" s="1"/>
  <c r="E8" i="20"/>
  <c r="K8" i="20" s="1"/>
  <c r="E18" i="20"/>
  <c r="K18" i="20" s="1"/>
  <c r="E24" i="20"/>
  <c r="K24" i="20" s="1"/>
  <c r="E23" i="20"/>
  <c r="K23" i="20" s="1"/>
  <c r="E21" i="19"/>
  <c r="K21" i="19" s="1"/>
  <c r="E25" i="20"/>
  <c r="K25" i="20" s="1"/>
  <c r="E15" i="20"/>
  <c r="K15" i="20" s="1"/>
  <c r="E26" i="20"/>
  <c r="K26" i="20" s="1"/>
  <c r="E12" i="20"/>
  <c r="K12" i="20" s="1"/>
  <c r="E27" i="20"/>
  <c r="K27" i="20" s="1"/>
  <c r="C47" i="9"/>
  <c r="C54" i="9" s="1"/>
  <c r="E54" i="9" s="1"/>
  <c r="D80" i="9"/>
  <c r="C80" i="9"/>
  <c r="G40" i="9" l="1"/>
  <c r="C52" i="13"/>
  <c r="I31" i="21" s="1"/>
  <c r="I32" i="21"/>
  <c r="E53" i="13"/>
  <c r="I12" i="21"/>
  <c r="C54" i="13"/>
  <c r="I33" i="21" s="1"/>
  <c r="C82" i="9"/>
  <c r="E80" i="9"/>
  <c r="C16" i="8"/>
  <c r="E14" i="8"/>
  <c r="E12" i="8"/>
  <c r="C14" i="8"/>
  <c r="E7" i="8"/>
  <c r="E8" i="8" s="1"/>
  <c r="C11" i="8"/>
  <c r="I35" i="21" l="1"/>
  <c r="D52" i="13"/>
  <c r="D55" i="13" s="1"/>
  <c r="D57" i="13" s="1"/>
  <c r="E54" i="13"/>
  <c r="C55" i="13"/>
  <c r="C57" i="13" s="1"/>
  <c r="E9" i="8"/>
  <c r="E10" i="8" s="1"/>
  <c r="E13" i="8" s="1"/>
  <c r="E15" i="8" s="1"/>
  <c r="E18" i="8" s="1"/>
  <c r="C12" i="8"/>
  <c r="E52" i="13" l="1"/>
  <c r="E55" i="13" s="1"/>
  <c r="E57" i="13" s="1"/>
  <c r="C15" i="8"/>
  <c r="C87" i="13" l="1"/>
  <c r="C89" i="13" s="1"/>
  <c r="C61" i="13"/>
  <c r="C18" i="8"/>
  <c r="D89" i="13" l="1"/>
  <c r="D87" i="13" s="1"/>
  <c r="G17" i="8"/>
  <c r="D84" i="13" s="1"/>
  <c r="D82" i="13" s="1"/>
  <c r="C60" i="13" s="1"/>
  <c r="C20" i="8"/>
  <c r="D20" i="8" s="1"/>
  <c r="D21" i="8" s="1"/>
  <c r="G11" i="8"/>
  <c r="C77" i="13" l="1"/>
  <c r="C79"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RunaHR</author>
  </authors>
  <commentList>
    <comment ref="K17" authorId="0" shapeId="0" xr:uid="{00000000-0006-0000-0000-000001000000}">
      <text>
        <r>
          <rPr>
            <sz val="9"/>
            <color indexed="81"/>
            <rFont val="Tahoma"/>
            <family val="2"/>
          </rPr>
          <t xml:space="preserve">Dias trabajados y NO pagados
</t>
        </r>
      </text>
    </comment>
    <comment ref="H18" authorId="0" shapeId="0" xr:uid="{00000000-0006-0000-0500-000001000000}">
      <text>
        <r>
          <rPr>
            <b/>
            <sz val="9"/>
            <color indexed="81"/>
            <rFont val="Tahoma"/>
            <family val="2"/>
          </rPr>
          <t>De acuerdo al Art. 87 de la LFT.- Los trabajadores tendrán derecho a un aguinaldo anual equivalente a 15 días de salario, por lo menos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RunaHR</author>
  </authors>
  <commentList>
    <comment ref="E2" authorId="0" shapeId="0" xr:uid="{00000000-0006-0000-0500-000002000000}">
      <text>
        <r>
          <rPr>
            <b/>
            <sz val="9"/>
            <color indexed="81"/>
            <rFont val="Tahoma"/>
            <family val="2"/>
          </rPr>
          <t>De acuerdo al Artículo 80 de la LFT. Los trabajadores tendrán derecho a una prima no menor de veinticinco por ciento sobre
los salarios que les correspondan durante el período de vacaciones.</t>
        </r>
        <r>
          <rPr>
            <sz val="9"/>
            <color indexed="81"/>
            <rFont val="Tahoma"/>
            <family val="2"/>
          </rPr>
          <t xml:space="preserve">
</t>
        </r>
      </text>
    </comment>
    <comment ref="E5" authorId="0" shapeId="0" xr:uid="{00000000-0006-0000-0500-000003000000}">
      <text>
        <r>
          <rPr>
            <b/>
            <sz val="9"/>
            <color indexed="81"/>
            <rFont val="Tahoma"/>
            <family val="2"/>
          </rPr>
          <t>De acuerdo al Articulo 76 de la LFT. Los trabajadores que tengan más de un año de servicios disfrutarán de un período anual
de vacaciones pagadas, que en ningún caso podrá ser inferior a seis días laborables, y que aumentará
en dos días laborables, hasta llegar a doce, por cada año subsecuente de servicios.</t>
        </r>
        <r>
          <rPr>
            <sz val="9"/>
            <color indexed="81"/>
            <rFont val="Tahoma"/>
            <family val="2"/>
          </rPr>
          <t xml:space="preserve">
</t>
        </r>
      </text>
    </comment>
  </commentList>
</comments>
</file>

<file path=xl/sharedStrings.xml><?xml version="1.0" encoding="utf-8"?>
<sst xmlns="http://schemas.openxmlformats.org/spreadsheetml/2006/main" count="414" uniqueCount="260">
  <si>
    <t>TABLA SUBSIDIO AL SALARIO MENSUAL</t>
  </si>
  <si>
    <t>SUELDO INTEGRADO</t>
  </si>
  <si>
    <t>INDEMNIZACION  3 MESES</t>
  </si>
  <si>
    <t>ANTIGUEDAD EN AÑOS:</t>
  </si>
  <si>
    <t>TOTAL DIAS TRABAJADOS</t>
  </si>
  <si>
    <t>LOCALIDAD:</t>
  </si>
  <si>
    <t>TIPO DE EMPLEADO:</t>
  </si>
  <si>
    <t>NIVEL</t>
  </si>
  <si>
    <t>POLITICA DE PRESTACIONES</t>
  </si>
  <si>
    <t>ISR</t>
  </si>
  <si>
    <t>ISR LIQUIDACION</t>
  </si>
  <si>
    <t>CALCULO DEL ISR (LIQUIDACION)</t>
  </si>
  <si>
    <t>CALCULO DEL ISR (FINIQUITO)</t>
  </si>
  <si>
    <t>PORCENTAJE DE INDEMNIZACIÓN</t>
  </si>
  <si>
    <t>VACACIONES</t>
  </si>
  <si>
    <t xml:space="preserve"> </t>
  </si>
  <si>
    <t>NOMBRE DE EMPRESA:</t>
  </si>
  <si>
    <t>Riesgo de trabajo.</t>
  </si>
  <si>
    <t>EMPLEADO DE VENTAS</t>
  </si>
  <si>
    <t>PROMEDIOS DIARIOS</t>
  </si>
  <si>
    <t>DIAS/HORAS</t>
  </si>
  <si>
    <t>% FONDO DE AHORRO</t>
  </si>
  <si>
    <t>NOMBRE:</t>
  </si>
  <si>
    <t>NUMERO DE NOMINA:</t>
  </si>
  <si>
    <t>FECHA DE ALTA:</t>
  </si>
  <si>
    <t>FECHA DE BAJA:</t>
  </si>
  <si>
    <t>SALARIO DIARIO INTEGRADO</t>
  </si>
  <si>
    <t>CONCEPTO</t>
  </si>
  <si>
    <t>PERCEPCIONES</t>
  </si>
  <si>
    <t>PARTES</t>
  </si>
  <si>
    <t>TOTAL</t>
  </si>
  <si>
    <t>IMPORTES</t>
  </si>
  <si>
    <t>EXENTAS</t>
  </si>
  <si>
    <t>GRAVABLE</t>
  </si>
  <si>
    <t>DIAS</t>
  </si>
  <si>
    <t>AGUINALDO</t>
  </si>
  <si>
    <t>SUBTOTAL</t>
  </si>
  <si>
    <t>TOTAL PERCEPCIONES</t>
  </si>
  <si>
    <t>DEDUCCIONES</t>
  </si>
  <si>
    <t>I.M.S.S.</t>
  </si>
  <si>
    <t>NETO A PAGAR</t>
  </si>
  <si>
    <t>TOTAL PERCEP. GRAVADAS</t>
  </si>
  <si>
    <t>TOTAL A PAGAR</t>
  </si>
  <si>
    <t>IMPORTE</t>
  </si>
  <si>
    <t>Proporción del empleador (% Subsidio)</t>
  </si>
  <si>
    <t>Subsidio acreditable</t>
  </si>
  <si>
    <t xml:space="preserve">PORCENAJE </t>
  </si>
  <si>
    <t>Proporción del empleador.</t>
  </si>
  <si>
    <t>LIM INFERIOR</t>
  </si>
  <si>
    <t>LIM SUPERIOR</t>
  </si>
  <si>
    <t>CUOTA FIJA</t>
  </si>
  <si>
    <t>S/ EXCEDENTE</t>
  </si>
  <si>
    <t>Impuesto</t>
  </si>
  <si>
    <t>Subsidio</t>
  </si>
  <si>
    <t>Crédito al salario</t>
  </si>
  <si>
    <t>Impuesto marginal</t>
  </si>
  <si>
    <t>Total impuesto bruto</t>
  </si>
  <si>
    <t xml:space="preserve">Solo importes que </t>
  </si>
  <si>
    <t>sean gravables</t>
  </si>
  <si>
    <t>Total de percepciones</t>
  </si>
  <si>
    <t>Límite inferior</t>
  </si>
  <si>
    <t>% sobre excedente</t>
  </si>
  <si>
    <t>del limite inferior</t>
  </si>
  <si>
    <t>Cuota fija</t>
  </si>
  <si>
    <t>mensual</t>
  </si>
  <si>
    <t xml:space="preserve">Total Impuesto </t>
  </si>
  <si>
    <t>bruto</t>
  </si>
  <si>
    <t>CRED. AL SALARIO</t>
  </si>
  <si>
    <t>Determinación de Cuotas IMSS</t>
  </si>
  <si>
    <t>S.D.I.</t>
  </si>
  <si>
    <t>CUOTAS OBRERO</t>
  </si>
  <si>
    <t xml:space="preserve">                TOPES SALARIALES</t>
  </si>
  <si>
    <t>Cuota</t>
  </si>
  <si>
    <t>Trab.%</t>
  </si>
  <si>
    <t>EXC.3 SMG.</t>
  </si>
  <si>
    <t>PRES.DINERO</t>
  </si>
  <si>
    <t>PREST.PENS</t>
  </si>
  <si>
    <t>INV.Y VIDA</t>
  </si>
  <si>
    <t>CEA Y VEJEZ</t>
  </si>
  <si>
    <t>CUOTAS PATRONALES</t>
  </si>
  <si>
    <t>RETIRO</t>
  </si>
  <si>
    <t>INFONAVIT</t>
  </si>
  <si>
    <t>RIESGO DE TRABAJO</t>
  </si>
  <si>
    <t>GUARDERIAS Y P</t>
  </si>
  <si>
    <t>TOTAL CUOTA OBRERO-PATRONAL</t>
  </si>
  <si>
    <t>MENSUAL</t>
  </si>
  <si>
    <t>BIMESTRAL</t>
  </si>
  <si>
    <t>Riesgo de trabajo</t>
  </si>
  <si>
    <t>Cálculo de IMSS</t>
  </si>
  <si>
    <t>Cálculo de Finiquito y/o Liquidación.</t>
  </si>
  <si>
    <t>PRIMA DE ANTIGUEDAD (POR AÑO)</t>
  </si>
  <si>
    <t>PERCEP GRAVADAS  POR TERMINACION LABORAL</t>
  </si>
  <si>
    <t>PERCEPCIONES GRAVADAS MES ACTUAL</t>
  </si>
  <si>
    <t>RETENIDO</t>
  </si>
  <si>
    <t xml:space="preserve">INDEMNIZACION (20 DIAS POR AÑO) </t>
  </si>
  <si>
    <t>FONDO DE AHORRO COMPAÑÍA</t>
  </si>
  <si>
    <t>FONDO DE AHORRO EMPLEADO</t>
  </si>
  <si>
    <t xml:space="preserve">FONDO DE AHORRO </t>
  </si>
  <si>
    <t>PERCEP GRAVADAS  POR INDEMNIZACION</t>
  </si>
  <si>
    <t>Subsidio no acreditable</t>
  </si>
  <si>
    <t>Sueldo</t>
  </si>
  <si>
    <t>limite inferior</t>
  </si>
  <si>
    <t>excedente</t>
  </si>
  <si>
    <t>% excedente art 80</t>
  </si>
  <si>
    <t>impuesto marginal</t>
  </si>
  <si>
    <t>% Subsidio acreditable</t>
  </si>
  <si>
    <t>total subsidio acredit</t>
  </si>
  <si>
    <t>ISPT a retener</t>
  </si>
  <si>
    <t>Tabla para el cálculo del I.S.P.T. Sueldo Mensual</t>
  </si>
  <si>
    <t>Tabla para el cálculo del I.S.P.T. Finiquito</t>
  </si>
  <si>
    <t>SUELDO MENSUAL</t>
  </si>
  <si>
    <t>FECHA DE ANTIGÜEDAD:</t>
  </si>
  <si>
    <t>SUBTOTAL  FINIQUITO</t>
  </si>
  <si>
    <t>SUBTOTAL INDEMNIZACION</t>
  </si>
  <si>
    <t>SUELDO MENSUAL ORDINARIO</t>
  </si>
  <si>
    <t>PRIMA VACACIONAL PERIODO ACT</t>
  </si>
  <si>
    <t>FONACOT</t>
  </si>
  <si>
    <t xml:space="preserve">Total </t>
  </si>
  <si>
    <t>Tope</t>
  </si>
  <si>
    <t>Vales</t>
  </si>
  <si>
    <t>F.A</t>
  </si>
  <si>
    <t>Excendente Fondo de ahorro</t>
  </si>
  <si>
    <t xml:space="preserve">Proporcional </t>
  </si>
  <si>
    <t>Difernciaas</t>
  </si>
  <si>
    <t xml:space="preserve">Dias trabajados </t>
  </si>
  <si>
    <t>|</t>
  </si>
  <si>
    <t>OTROS DESCUENTOS</t>
  </si>
  <si>
    <t>Anticipo de Aguinaldo</t>
  </si>
  <si>
    <t>NO</t>
  </si>
  <si>
    <t>VACACIONES ANTERIORES</t>
  </si>
  <si>
    <t>SALARIO PAQUETE</t>
  </si>
  <si>
    <t>SAR</t>
  </si>
  <si>
    <t>Aguinaldo</t>
  </si>
  <si>
    <t>TOTAL DEDUCCIONES</t>
  </si>
  <si>
    <t>DESPENSA EN EFECTIVO</t>
  </si>
  <si>
    <t xml:space="preserve"> PRIM VACACIONAL</t>
  </si>
  <si>
    <t>SUELDO</t>
  </si>
  <si>
    <t>INDEMNIZACIÓN</t>
  </si>
  <si>
    <t>REVISIÓN SDI</t>
  </si>
  <si>
    <t>SMGV</t>
  </si>
  <si>
    <t>Aniversario</t>
  </si>
  <si>
    <t>Dias de Vacaciones</t>
  </si>
  <si>
    <t>PV</t>
  </si>
  <si>
    <t>Total Paquete</t>
  </si>
  <si>
    <t>Excedente Vales</t>
  </si>
  <si>
    <t>S. Diario</t>
  </si>
  <si>
    <t>S. Paquete</t>
  </si>
  <si>
    <t xml:space="preserve">S.D.I </t>
  </si>
  <si>
    <t>CONCEPTO  PERCEPCIONES</t>
  </si>
  <si>
    <t>DÍAS</t>
  </si>
  <si>
    <t>de</t>
  </si>
  <si>
    <t>a</t>
  </si>
  <si>
    <t>Acumulado</t>
  </si>
  <si>
    <t>ISR POR FINIQUITO</t>
  </si>
  <si>
    <t>DESCUENTO DESPENSA</t>
  </si>
  <si>
    <t>TABLA  IMPTO MENSUAL 2016</t>
  </si>
  <si>
    <t>FECHA FIN QUINCENA O MES</t>
  </si>
  <si>
    <t>SALARIO DIARIO</t>
  </si>
  <si>
    <t>FINANCE PLUS</t>
  </si>
  <si>
    <t>Ultima Variable</t>
  </si>
  <si>
    <t>Nuevo Ingreso</t>
  </si>
  <si>
    <t>TABLA PRESTACIONES 1</t>
  </si>
  <si>
    <t>VACACIONES DISFRUTADAS PERIODO ACTUAL</t>
  </si>
  <si>
    <t>UMA</t>
  </si>
  <si>
    <t>Dias Para PV</t>
  </si>
  <si>
    <t>SD</t>
  </si>
  <si>
    <t>Antigüedad</t>
  </si>
  <si>
    <t>Sueldo Mensual</t>
  </si>
  <si>
    <t xml:space="preserve">P E R C E P C I O N E S </t>
  </si>
  <si>
    <t>FINIQUITO</t>
  </si>
  <si>
    <t>Vacaciones</t>
  </si>
  <si>
    <t>90 días</t>
  </si>
  <si>
    <t>20 días por año</t>
  </si>
  <si>
    <t>Prima de antigüedad</t>
  </si>
  <si>
    <t>DEVOLUCION DE FONDO DE AHORRO</t>
  </si>
  <si>
    <t>SI</t>
  </si>
  <si>
    <t>INTERESES DE FONDO DE AHORRO</t>
  </si>
  <si>
    <t>INFONAVIT ATRASADO</t>
  </si>
  <si>
    <t>DESGLOSE DE FONDO DE AHORRO</t>
  </si>
  <si>
    <t>MES</t>
  </si>
  <si>
    <t>1ERA DE ENERO</t>
  </si>
  <si>
    <t>2DA DE ENERO</t>
  </si>
  <si>
    <t>1ERA DE FEBRERO</t>
  </si>
  <si>
    <t>2DA DE FEBRERO</t>
  </si>
  <si>
    <t>1ERA DE MARZO</t>
  </si>
  <si>
    <t>2DA DE MARZO</t>
  </si>
  <si>
    <t>1ERA DE ABRIL</t>
  </si>
  <si>
    <t>2DA DE ABRIL</t>
  </si>
  <si>
    <t>1ERA DE MAYO</t>
  </si>
  <si>
    <t>2DA DE MAYO</t>
  </si>
  <si>
    <t>1ERA DE JUNIO</t>
  </si>
  <si>
    <t>2DA DE JUNIO</t>
  </si>
  <si>
    <t>1ERA DE JULIO</t>
  </si>
  <si>
    <t>2DA DE JULIO</t>
  </si>
  <si>
    <t>1ERA DE AGOSTO</t>
  </si>
  <si>
    <t>2DA DE AGOSTO</t>
  </si>
  <si>
    <t>1ERA DE SEPTIEMBRE</t>
  </si>
  <si>
    <t>2DA DE SEPTIEMBRE</t>
  </si>
  <si>
    <t>1ERA DE OCTUBRE</t>
  </si>
  <si>
    <t>2DA DE OCTUBRE</t>
  </si>
  <si>
    <t>1ERA DE NOVIEMBRE</t>
  </si>
  <si>
    <t>2DA DE NOVIEMBRE</t>
  </si>
  <si>
    <t>1ERA DE DICIEMBRE</t>
  </si>
  <si>
    <t>2DA DE DICIEMBRE</t>
  </si>
  <si>
    <t>TOTAL DE FONDO DE AHORRO</t>
  </si>
  <si>
    <t>EMPLEADO</t>
  </si>
  <si>
    <t>EMPRESA</t>
  </si>
  <si>
    <t>CLASES DE INGLES</t>
  </si>
  <si>
    <t>TOPE EN PRESTACION</t>
  </si>
  <si>
    <t>% EN PRIMA VACACIONAL</t>
  </si>
  <si>
    <t>DIAS DE AGUINALDO</t>
  </si>
  <si>
    <t xml:space="preserve">DIAS CORRESPONDIENTES DE VACACIONES EN TABLA </t>
  </si>
  <si>
    <t>PRESTACION VALES DESPENSA / TOPE</t>
  </si>
  <si>
    <t>PRESTACION FONDO DE AHORRO / TOPE</t>
  </si>
  <si>
    <t>BONO</t>
  </si>
  <si>
    <t>FECHA INICIO DE AÑO</t>
  </si>
  <si>
    <t>Dias de vales despensa</t>
  </si>
  <si>
    <t>Pago de PV en el año</t>
  </si>
  <si>
    <t>Pago de anticipo de Aguinaldo</t>
  </si>
  <si>
    <t xml:space="preserve">FECHA INICIO QUINCENA </t>
  </si>
  <si>
    <t>DIAS POR FALTA INJUSTIFICADA</t>
  </si>
  <si>
    <t>PRESTAMO DE FONDO DE AHORRO</t>
  </si>
  <si>
    <t>INTERES DE PRESTAMO FONDO DE AHORRO</t>
  </si>
  <si>
    <t>FONDO DE AHORRO</t>
  </si>
  <si>
    <t>COMPENSACION (VALES GASOLINA)</t>
  </si>
  <si>
    <t>DESCUENTO TICKET EMPRESARIAL</t>
  </si>
  <si>
    <t>DIAS TRABAJADOS EN EL AÑO PARA VACACIONES</t>
  </si>
  <si>
    <t>DIAS TRABAJADOS EN EL AÑO PARA AGUINALDO</t>
  </si>
  <si>
    <t>SMVG 2018</t>
  </si>
  <si>
    <t>SOCIALAND MEDIA SOLUTIONS</t>
  </si>
  <si>
    <t>Prestacion SI / NO</t>
  </si>
  <si>
    <t>VALES DESPENSA</t>
  </si>
  <si>
    <t>Determinación de ISR</t>
  </si>
  <si>
    <t>Retenido en Nómina</t>
  </si>
  <si>
    <t>ISR Final</t>
  </si>
  <si>
    <t>Solo importes que sean gravables</t>
  </si>
  <si>
    <t>SBC</t>
  </si>
  <si>
    <t>1804251</t>
  </si>
  <si>
    <t>Mariel Margarita Alvarado Ramírez</t>
  </si>
  <si>
    <t>1,818.24</t>
  </si>
  <si>
    <t>11,500.05</t>
  </si>
  <si>
    <t>sdo mensual</t>
  </si>
  <si>
    <t>Fecha de
alta</t>
  </si>
  <si>
    <t>sueldo diario</t>
  </si>
  <si>
    <t>dias vacaciones</t>
  </si>
  <si>
    <t>porcentaje de prima</t>
  </si>
  <si>
    <t>Prima vacacional</t>
  </si>
  <si>
    <t>sdo dia</t>
  </si>
  <si>
    <t>Días de Vacaciones</t>
  </si>
  <si>
    <t>Número de Anviersario</t>
  </si>
  <si>
    <t>SUELDO DIARIO</t>
  </si>
  <si>
    <t xml:space="preserve"> DIAS</t>
  </si>
  <si>
    <t>Días de Aguinaldo</t>
  </si>
  <si>
    <t>Prima Vacacional</t>
  </si>
  <si>
    <t>SDI</t>
  </si>
  <si>
    <t>LIQUIDACIÓN</t>
  </si>
  <si>
    <t>Fecha de inicio de pago</t>
  </si>
  <si>
    <t xml:space="preserve">Fecha de corte de pago </t>
  </si>
  <si>
    <t>Nota.- El calculo de aguinaldo solo considera el año 2018</t>
  </si>
  <si>
    <t xml:space="preserve">                    Simulador de Aguinaldo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</si>
</sst>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8" formatCode="&quot;$&quot;#,##0.00;[Red]\-&quot;$&quot;#,##0.00"/>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_ * #,##0.00_ ;_ * \-#,##0.00_ ;_ * &quot;-&quot;??_ ;_ @_ "/>
    <numFmt numFmtId="168" formatCode="_-* #,##0.00\ &quot;Pts&quot;_-;\-* #,##0.00\ &quot;Pts&quot;_-;_-* &quot;-&quot;??\ &quot;Pts&quot;_-;_-@_-"/>
    <numFmt numFmtId="169" formatCode="_-* #,##0.00\ _P_t_s_-;\-* #,##0.00\ _P_t_s_-;_-* &quot;-&quot;??\ _P_t_s_-;_-@_-"/>
    <numFmt numFmtId="170" formatCode="_-* #,##0.000\ _P_t_s_-;\-* #,##0.000\ _P_t_s_-;_-* &quot;-&quot;??\ _P_t_s_-;_-@_-"/>
    <numFmt numFmtId="171" formatCode="0.0000"/>
    <numFmt numFmtId="172" formatCode="_(&quot;$&quot;* #,##0.0000_);_(&quot;$&quot;* \(#,##0.0000\);_(&quot;$&quot;* &quot;-&quot;??_);_(@_)"/>
    <numFmt numFmtId="173" formatCode="#,##0.0000_);\(#,##0.0000\)"/>
    <numFmt numFmtId="174" formatCode="_(* #,##0_);_(* \(#,##0\);_(* &quot;-&quot;??_);_(@_)"/>
    <numFmt numFmtId="175" formatCode="_(&quot;$&quot;* #,##0.00_);[Red]_(&quot;$&quot;* \(#,##0.00\);_(&quot;$&quot;* &quot;-&quot;??_);_(@_)"/>
    <numFmt numFmtId="176" formatCode="0.0%"/>
    <numFmt numFmtId="177" formatCode="0.000%"/>
    <numFmt numFmtId="178" formatCode="0.00000%"/>
    <numFmt numFmtId="179" formatCode="_-* #,##0\ _P_t_s_-;\-* #,##0\ _P_t_s_-;_-* &quot;-&quot;??\ _P_t_s_-;_-@_-"/>
    <numFmt numFmtId="180" formatCode="0.00000"/>
    <numFmt numFmtId="181" formatCode="#,##0.000000000000"/>
    <numFmt numFmtId="182" formatCode="_-* #,##0.0000\ _P_t_s_-;\-* #,##0.0000\ _P_t_s_-;_-* &quot;-&quot;??\ _P_t_s_-;_-@_-"/>
    <numFmt numFmtId="183" formatCode="#,##0.00_ ;[Red]\-#,##0.00\ "/>
    <numFmt numFmtId="184" formatCode="_ * #,##0.0000_ ;_ * \-#,##0.0000_ ;_ * &quot;-&quot;??_ ;_ @_ "/>
    <numFmt numFmtId="185" formatCode="_-* #,##0.00000\ _P_t_s_-;\-* #,##0.00000\ _P_t_s_-;_-* &quot;-&quot;??\ _P_t_s_-;_-@_-"/>
    <numFmt numFmtId="186" formatCode="_-* #,##0.000000\ _P_t_s_-;\-* #,##0.000000\ _P_t_s_-;_-* &quot;-&quot;??\ _P_t_s_-;_-@_-"/>
    <numFmt numFmtId="187" formatCode="_-* #,##0.0000_-;\-* #,##0.0000_-;_-* &quot;-&quot;??_-;_-@_-"/>
    <numFmt numFmtId="188" formatCode="#,##0.00_);\-#,##0.00"/>
    <numFmt numFmtId="189" formatCode="0.000"/>
    <numFmt numFmtId="190" formatCode="dd/mmm/yyyy"/>
    <numFmt numFmtId="191" formatCode="#,##0.00_ ;\-#,##0.00\ "/>
    <numFmt numFmtId="192" formatCode="dd/mm/yyyy;@"/>
    <numFmt numFmtId="193" formatCode="0.0000%"/>
  </numFmts>
  <fonts count="70">
    <font>
      <sz val="10"/>
      <name val="Arial"/>
    </font>
    <font>
      <b/>
      <sz val="10"/>
      <name val="Arial"/>
      <family val="2"/>
    </font>
    <font>
      <sz val="10"/>
      <name val="Arial"/>
      <family val="2"/>
    </font>
    <font>
      <sz val="10"/>
      <name val="Arial"/>
      <family val="2"/>
    </font>
    <font>
      <sz val="24"/>
      <name val="Arial"/>
      <family val="2"/>
    </font>
    <font>
      <sz val="10"/>
      <color indexed="8"/>
      <name val="Arial"/>
      <family val="2"/>
    </font>
    <font>
      <b/>
      <sz val="10"/>
      <color indexed="9"/>
      <name val="Arial"/>
      <family val="2"/>
    </font>
    <font>
      <b/>
      <sz val="12"/>
      <name val="Arial"/>
      <family val="2"/>
    </font>
    <font>
      <b/>
      <sz val="10"/>
      <color indexed="10"/>
      <name val="Arial"/>
      <family val="2"/>
    </font>
    <font>
      <b/>
      <sz val="11"/>
      <color indexed="11"/>
      <name val="Arial"/>
      <family val="2"/>
    </font>
    <font>
      <b/>
      <sz val="11"/>
      <color indexed="34"/>
      <name val="Arial"/>
      <family val="2"/>
    </font>
    <font>
      <b/>
      <sz val="10"/>
      <color indexed="9"/>
      <name val="Arial"/>
      <family val="2"/>
    </font>
    <font>
      <sz val="8"/>
      <name val="Arial"/>
      <family val="2"/>
    </font>
    <font>
      <b/>
      <sz val="8"/>
      <name val="Arial"/>
      <family val="2"/>
    </font>
    <font>
      <b/>
      <sz val="22"/>
      <name val="Times New Roman"/>
      <family val="1"/>
    </font>
    <font>
      <sz val="22"/>
      <name val="Arial"/>
      <family val="2"/>
    </font>
    <font>
      <b/>
      <i/>
      <sz val="8"/>
      <name val="Arial"/>
      <family val="2"/>
    </font>
    <font>
      <i/>
      <sz val="8"/>
      <name val="Arial"/>
      <family val="2"/>
    </font>
    <font>
      <b/>
      <sz val="16"/>
      <name val="Arial"/>
      <family val="2"/>
    </font>
    <font>
      <sz val="8"/>
      <color indexed="8"/>
      <name val="Arial"/>
      <family val="2"/>
    </font>
    <font>
      <i/>
      <sz val="9"/>
      <name val="Arial"/>
      <family val="2"/>
    </font>
    <font>
      <b/>
      <sz val="8"/>
      <name val="Arial"/>
      <family val="2"/>
    </font>
    <font>
      <b/>
      <sz val="10"/>
      <name val="Arial"/>
      <family val="2"/>
    </font>
    <font>
      <sz val="8"/>
      <name val="Arial"/>
      <family val="2"/>
    </font>
    <font>
      <b/>
      <sz val="8"/>
      <name val="Times New Roman"/>
      <family val="1"/>
    </font>
    <font>
      <b/>
      <sz val="8"/>
      <color indexed="8"/>
      <name val="Arial"/>
      <family val="2"/>
    </font>
    <font>
      <b/>
      <sz val="12"/>
      <color indexed="9"/>
      <name val="Arial"/>
      <family val="2"/>
    </font>
    <font>
      <b/>
      <sz val="9"/>
      <name val="Arial"/>
      <family val="2"/>
    </font>
    <font>
      <sz val="9"/>
      <name val="Arial"/>
      <family val="2"/>
    </font>
    <font>
      <b/>
      <sz val="10"/>
      <color indexed="8"/>
      <name val="Arial"/>
      <family val="2"/>
    </font>
    <font>
      <b/>
      <sz val="8"/>
      <name val="Comic Sans MS"/>
      <family val="4"/>
    </font>
    <font>
      <b/>
      <sz val="8"/>
      <color indexed="9"/>
      <name val="Arial"/>
      <family val="2"/>
    </font>
    <font>
      <b/>
      <sz val="11"/>
      <name val="Arial"/>
      <family val="2"/>
    </font>
    <font>
      <sz val="8"/>
      <color indexed="9"/>
      <name val="Arial"/>
      <family val="2"/>
    </font>
    <font>
      <sz val="6"/>
      <color indexed="8"/>
      <name val="Arial"/>
      <family val="2"/>
    </font>
    <font>
      <sz val="9.85"/>
      <color indexed="8"/>
      <name val="Times New Roman"/>
      <family val="1"/>
    </font>
    <font>
      <sz val="9"/>
      <name val="Arial Unicode MS"/>
      <family val="2"/>
    </font>
    <font>
      <sz val="10"/>
      <color indexed="8"/>
      <name val="MS Sans Serif"/>
      <family val="2"/>
    </font>
    <font>
      <sz val="10"/>
      <color indexed="8"/>
      <name val="MS Sans Serif"/>
      <family val="2"/>
    </font>
    <font>
      <sz val="6"/>
      <color indexed="8"/>
      <name val="Arial"/>
      <family val="2"/>
    </font>
    <font>
      <b/>
      <sz val="6"/>
      <color indexed="8"/>
      <name val="Arial"/>
      <family val="2"/>
    </font>
    <font>
      <sz val="10.1"/>
      <color indexed="8"/>
      <name val="Times New Roman"/>
      <family val="1"/>
    </font>
    <font>
      <b/>
      <sz val="14"/>
      <color indexed="9"/>
      <name val="Arial"/>
      <family val="2"/>
    </font>
    <font>
      <b/>
      <sz val="11"/>
      <color indexed="9"/>
      <name val="Arial"/>
      <family val="2"/>
    </font>
    <font>
      <sz val="6"/>
      <name val="Arial"/>
      <family val="2"/>
    </font>
    <font>
      <b/>
      <sz val="11"/>
      <name val="Calibri"/>
      <family val="2"/>
    </font>
    <font>
      <sz val="11"/>
      <name val="Calibri"/>
      <family val="2"/>
    </font>
    <font>
      <sz val="10"/>
      <name val="Arial"/>
      <family val="2"/>
    </font>
    <font>
      <b/>
      <sz val="11"/>
      <color theme="0"/>
      <name val="Calibri"/>
      <family val="2"/>
      <scheme val="minor"/>
    </font>
    <font>
      <b/>
      <sz val="11"/>
      <color theme="1"/>
      <name val="Calibri"/>
      <family val="2"/>
      <scheme val="minor"/>
    </font>
    <font>
      <sz val="10"/>
      <color theme="1"/>
      <name val="Verdana"/>
      <family val="2"/>
    </font>
    <font>
      <sz val="8"/>
      <color theme="0"/>
      <name val="Arial"/>
      <family val="2"/>
    </font>
    <font>
      <b/>
      <sz val="14"/>
      <color theme="1"/>
      <name val="Calibri"/>
      <family val="2"/>
      <scheme val="minor"/>
    </font>
    <font>
      <sz val="9"/>
      <color theme="1"/>
      <name val="Calibri"/>
      <family val="2"/>
      <scheme val="minor"/>
    </font>
    <font>
      <b/>
      <sz val="10"/>
      <color theme="1"/>
      <name val="Calibri"/>
      <family val="2"/>
      <scheme val="minor"/>
    </font>
    <font>
      <sz val="9"/>
      <color theme="0"/>
      <name val="Calibri"/>
      <family val="2"/>
      <scheme val="minor"/>
    </font>
    <font>
      <b/>
      <sz val="9"/>
      <color theme="0"/>
      <name val="Calibri"/>
      <family val="2"/>
      <scheme val="minor"/>
    </font>
    <font>
      <b/>
      <sz val="9"/>
      <color theme="0"/>
      <name val="Arial"/>
      <family val="2"/>
    </font>
    <font>
      <sz val="9"/>
      <color theme="0"/>
      <name val="Arial"/>
      <family val="2"/>
    </font>
    <font>
      <b/>
      <sz val="8"/>
      <color theme="0"/>
      <name val="Arial"/>
      <family val="2"/>
    </font>
    <font>
      <b/>
      <i/>
      <sz val="12"/>
      <color theme="0"/>
      <name val="Arial"/>
      <family val="2"/>
    </font>
    <font>
      <b/>
      <sz val="12"/>
      <color theme="0"/>
      <name val="Arial"/>
      <family val="2"/>
    </font>
    <font>
      <b/>
      <sz val="11"/>
      <color theme="0"/>
      <name val="Arial"/>
      <family val="2"/>
    </font>
    <font>
      <b/>
      <sz val="10"/>
      <color theme="0"/>
      <name val="Arial"/>
      <family val="2"/>
    </font>
    <font>
      <b/>
      <sz val="8"/>
      <color theme="9" tint="-0.499984740745262"/>
      <name val="Arial"/>
      <family val="2"/>
    </font>
    <font>
      <b/>
      <sz val="10"/>
      <color rgb="FF0000FF"/>
      <name val="Arial"/>
      <family val="2"/>
    </font>
    <font>
      <sz val="11"/>
      <color theme="0"/>
      <name val="Calibri"/>
      <family val="2"/>
    </font>
    <font>
      <sz val="9"/>
      <color indexed="81"/>
      <name val="Tahoma"/>
      <family val="2"/>
    </font>
    <font>
      <b/>
      <sz val="9"/>
      <color indexed="81"/>
      <name val="Tahoma"/>
      <family val="2"/>
    </font>
    <font>
      <b/>
      <sz val="7"/>
      <name val="Arial"/>
      <family val="2"/>
    </font>
  </fonts>
  <fills count="2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29"/>
        <bgColor indexed="64"/>
      </patternFill>
    </fill>
    <fill>
      <patternFill patternType="solid">
        <fgColor indexed="8"/>
        <bgColor indexed="64"/>
      </patternFill>
    </fill>
    <fill>
      <patternFill patternType="solid">
        <fgColor indexed="26"/>
        <bgColor indexed="64"/>
      </patternFill>
    </fill>
    <fill>
      <patternFill patternType="solid">
        <fgColor indexed="47"/>
        <bgColor indexed="64"/>
      </patternFill>
    </fill>
    <fill>
      <patternFill patternType="solid">
        <fgColor rgb="FFFFFF00"/>
        <bgColor indexed="64"/>
      </patternFill>
    </fill>
    <fill>
      <patternFill patternType="solid">
        <fgColor rgb="FF002060"/>
        <bgColor indexed="64"/>
      </patternFill>
    </fill>
    <fill>
      <patternFill patternType="solid">
        <fgColor theme="0"/>
        <bgColor indexed="64"/>
      </patternFill>
    </fill>
    <fill>
      <patternFill patternType="solid">
        <fgColor theme="1"/>
        <bgColor indexed="64"/>
      </patternFill>
    </fill>
    <fill>
      <patternFill patternType="solid">
        <fgColor theme="9" tint="0.39997558519241921"/>
        <bgColor indexed="64"/>
      </patternFill>
    </fill>
    <fill>
      <patternFill patternType="solid">
        <fgColor rgb="FF0070C0"/>
        <bgColor indexed="64"/>
      </patternFill>
    </fill>
    <fill>
      <patternFill patternType="solid">
        <fgColor theme="0" tint="-0.249977111117893"/>
        <bgColor indexed="64"/>
      </patternFill>
    </fill>
    <fill>
      <patternFill patternType="solid">
        <fgColor rgb="FFFFFF99"/>
        <bgColor indexed="64"/>
      </patternFill>
    </fill>
    <fill>
      <patternFill patternType="solid">
        <fgColor theme="7" tint="-0.249977111117893"/>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rgb="FF957EEA"/>
        <bgColor indexed="64"/>
      </patternFill>
    </fill>
    <fill>
      <patternFill patternType="solid">
        <fgColor theme="0" tint="-0.14999847407452621"/>
        <bgColor indexed="64"/>
      </patternFill>
    </fill>
  </fills>
  <borders count="73">
    <border>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9"/>
      </left>
      <right style="thin">
        <color indexed="9"/>
      </right>
      <top style="thin">
        <color indexed="9"/>
      </top>
      <bottom style="thin">
        <color indexed="9"/>
      </bottom>
      <diagonal/>
    </border>
    <border>
      <left style="thin">
        <color indexed="9"/>
      </left>
      <right style="medium">
        <color indexed="64"/>
      </right>
      <top style="thin">
        <color indexed="9"/>
      </top>
      <bottom style="thin">
        <color indexed="9"/>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style="medium">
        <color indexed="64"/>
      </right>
      <top style="medium">
        <color indexed="64"/>
      </top>
      <bottom/>
      <diagonal/>
    </border>
    <border>
      <left/>
      <right/>
      <top style="medium">
        <color indexed="64"/>
      </top>
      <bottom/>
      <diagonal/>
    </border>
    <border>
      <left/>
      <right/>
      <top/>
      <bottom style="double">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theme="0"/>
      </bottom>
      <diagonal/>
    </border>
    <border>
      <left style="medium">
        <color indexed="64"/>
      </left>
      <right/>
      <top style="thin">
        <color theme="0"/>
      </top>
      <bottom style="thin">
        <color theme="0"/>
      </bottom>
      <diagonal/>
    </border>
    <border>
      <left style="medium">
        <color indexed="64"/>
      </left>
      <right/>
      <top style="thin">
        <color theme="0"/>
      </top>
      <bottom/>
      <diagonal/>
    </border>
    <border>
      <left style="thick">
        <color rgb="FF957EEA"/>
      </left>
      <right/>
      <top style="thick">
        <color rgb="FF957EEA"/>
      </top>
      <bottom/>
      <diagonal/>
    </border>
    <border>
      <left/>
      <right/>
      <top style="thick">
        <color rgb="FF957EEA"/>
      </top>
      <bottom/>
      <diagonal/>
    </border>
    <border>
      <left/>
      <right style="thick">
        <color rgb="FF957EEA"/>
      </right>
      <top style="thick">
        <color rgb="FF957EEA"/>
      </top>
      <bottom/>
      <diagonal/>
    </border>
    <border>
      <left style="thick">
        <color rgb="FF957EEA"/>
      </left>
      <right/>
      <top/>
      <bottom/>
      <diagonal/>
    </border>
    <border>
      <left/>
      <right style="thick">
        <color rgb="FF957EEA"/>
      </right>
      <top/>
      <bottom/>
      <diagonal/>
    </border>
    <border>
      <left style="thick">
        <color rgb="FF957EEA"/>
      </left>
      <right/>
      <top/>
      <bottom style="thick">
        <color rgb="FF957EEA"/>
      </bottom>
      <diagonal/>
    </border>
    <border>
      <left/>
      <right/>
      <top/>
      <bottom style="thick">
        <color rgb="FF957EEA"/>
      </bottom>
      <diagonal/>
    </border>
    <border>
      <left/>
      <right style="thick">
        <color rgb="FF957EEA"/>
      </right>
      <top/>
      <bottom style="thick">
        <color rgb="FF957EEA"/>
      </bottom>
      <diagonal/>
    </border>
  </borders>
  <cellStyleXfs count="31">
    <xf numFmtId="0" fontId="0" fillId="0" borderId="0"/>
    <xf numFmtId="0" fontId="2" fillId="0" borderId="0" applyNumberForma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9"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7" fillId="0" borderId="0"/>
    <xf numFmtId="0" fontId="37" fillId="0" borderId="0"/>
    <xf numFmtId="0" fontId="36" fillId="0" borderId="0"/>
    <xf numFmtId="0" fontId="38" fillId="0" borderId="0"/>
    <xf numFmtId="0" fontId="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 fillId="0" borderId="0"/>
    <xf numFmtId="9" fontId="41" fillId="0" borderId="0" applyFont="0" applyFill="0" applyBorder="0" applyAlignment="0" applyProtection="0"/>
    <xf numFmtId="9" fontId="2" fillId="0" borderId="0" applyFont="0" applyFill="0" applyBorder="0" applyAlignment="0" applyProtection="0"/>
    <xf numFmtId="0" fontId="2" fillId="0" borderId="0"/>
  </cellStyleXfs>
  <cellXfs count="623">
    <xf numFmtId="0" fontId="0" fillId="0" borderId="0" xfId="0"/>
    <xf numFmtId="0" fontId="0" fillId="0" borderId="0" xfId="0" applyFill="1" applyBorder="1"/>
    <xf numFmtId="0" fontId="5" fillId="2" borderId="0" xfId="0" applyFont="1" applyFill="1"/>
    <xf numFmtId="0" fontId="0" fillId="2" borderId="1" xfId="0" applyFill="1" applyBorder="1"/>
    <xf numFmtId="165" fontId="0" fillId="2" borderId="2" xfId="0" applyNumberFormat="1" applyFill="1" applyBorder="1"/>
    <xf numFmtId="173" fontId="0" fillId="2" borderId="3" xfId="0" applyNumberFormat="1" applyFill="1" applyBorder="1"/>
    <xf numFmtId="173" fontId="0" fillId="3" borderId="4" xfId="0" applyNumberFormat="1" applyFill="1" applyBorder="1" applyAlignment="1"/>
    <xf numFmtId="0" fontId="0" fillId="3" borderId="5" xfId="0" applyFill="1" applyBorder="1"/>
    <xf numFmtId="165" fontId="0" fillId="3" borderId="6" xfId="0" applyNumberFormat="1" applyFill="1" applyBorder="1"/>
    <xf numFmtId="173" fontId="0" fillId="3" borderId="7" xfId="0" applyNumberFormat="1" applyFill="1" applyBorder="1"/>
    <xf numFmtId="0" fontId="0" fillId="2" borderId="8" xfId="0" applyFill="1" applyBorder="1"/>
    <xf numFmtId="165" fontId="0" fillId="2" borderId="9" xfId="0" applyNumberFormat="1" applyFill="1" applyBorder="1"/>
    <xf numFmtId="0" fontId="0" fillId="2" borderId="10" xfId="0" applyFill="1" applyBorder="1"/>
    <xf numFmtId="0" fontId="0" fillId="2" borderId="11" xfId="0" applyFill="1" applyBorder="1"/>
    <xf numFmtId="0" fontId="8" fillId="2" borderId="10" xfId="0" applyFont="1" applyFill="1" applyBorder="1"/>
    <xf numFmtId="165" fontId="0" fillId="2" borderId="12" xfId="0" applyNumberFormat="1" applyFill="1" applyBorder="1"/>
    <xf numFmtId="0" fontId="0" fillId="2" borderId="13" xfId="0" applyFill="1" applyBorder="1"/>
    <xf numFmtId="0" fontId="0" fillId="2" borderId="14" xfId="0" applyFill="1" applyBorder="1"/>
    <xf numFmtId="165" fontId="0" fillId="2" borderId="15" xfId="0" applyNumberFormat="1" applyFill="1" applyBorder="1"/>
    <xf numFmtId="165" fontId="0" fillId="2" borderId="0" xfId="0" applyNumberFormat="1" applyFill="1" applyBorder="1"/>
    <xf numFmtId="0" fontId="0" fillId="2" borderId="16" xfId="0" applyFill="1" applyBorder="1"/>
    <xf numFmtId="165" fontId="0" fillId="2" borderId="17" xfId="0" applyNumberFormat="1" applyFill="1" applyBorder="1"/>
    <xf numFmtId="0" fontId="0" fillId="2" borderId="5" xfId="0" applyFill="1" applyBorder="1"/>
    <xf numFmtId="173" fontId="0" fillId="2" borderId="0" xfId="0" applyNumberFormat="1" applyFill="1" applyBorder="1"/>
    <xf numFmtId="165" fontId="0" fillId="2" borderId="11" xfId="0" applyNumberFormat="1" applyFill="1" applyBorder="1"/>
    <xf numFmtId="0" fontId="0" fillId="2" borderId="18" xfId="0" applyFill="1" applyBorder="1"/>
    <xf numFmtId="165" fontId="0" fillId="2" borderId="19" xfId="0" applyNumberFormat="1" applyFill="1" applyBorder="1"/>
    <xf numFmtId="0" fontId="0" fillId="2" borderId="20" xfId="0" applyFill="1" applyBorder="1"/>
    <xf numFmtId="165" fontId="0" fillId="2" borderId="21" xfId="0" applyNumberFormat="1" applyFill="1" applyBorder="1"/>
    <xf numFmtId="9" fontId="5" fillId="2" borderId="0" xfId="29" applyFont="1" applyFill="1" applyBorder="1" applyAlignment="1">
      <alignment horizontal="center"/>
    </xf>
    <xf numFmtId="0" fontId="5" fillId="2" borderId="0" xfId="0" applyFont="1" applyFill="1" applyAlignment="1">
      <alignment horizontal="center"/>
    </xf>
    <xf numFmtId="177" fontId="0" fillId="0" borderId="0" xfId="0" applyNumberFormat="1"/>
    <xf numFmtId="0" fontId="0" fillId="0" borderId="0" xfId="0" applyBorder="1"/>
    <xf numFmtId="0" fontId="0" fillId="2" borderId="0" xfId="0" applyFill="1" applyBorder="1"/>
    <xf numFmtId="177" fontId="0" fillId="2" borderId="22" xfId="0" applyNumberFormat="1" applyFill="1" applyBorder="1"/>
    <xf numFmtId="0" fontId="0" fillId="4" borderId="23" xfId="0" applyFill="1" applyBorder="1"/>
    <xf numFmtId="0" fontId="0" fillId="4" borderId="0" xfId="0" applyFill="1"/>
    <xf numFmtId="177" fontId="0" fillId="4" borderId="24" xfId="0" applyNumberFormat="1" applyFill="1" applyBorder="1"/>
    <xf numFmtId="0" fontId="12" fillId="0" borderId="0" xfId="0" applyFont="1" applyFill="1" applyBorder="1"/>
    <xf numFmtId="170" fontId="12" fillId="0" borderId="0" xfId="0" applyNumberFormat="1" applyFont="1" applyFill="1" applyBorder="1"/>
    <xf numFmtId="0" fontId="0" fillId="0" borderId="0" xfId="0" applyFill="1" applyProtection="1">
      <protection locked="0"/>
    </xf>
    <xf numFmtId="177" fontId="0" fillId="0" borderId="0" xfId="0" applyNumberFormat="1" applyFill="1" applyProtection="1">
      <protection locked="0"/>
    </xf>
    <xf numFmtId="0" fontId="0" fillId="0" borderId="0" xfId="0" applyFill="1"/>
    <xf numFmtId="177" fontId="0" fillId="0" borderId="0" xfId="0" applyNumberFormat="1" applyFill="1"/>
    <xf numFmtId="166" fontId="0" fillId="0" borderId="0" xfId="0" applyNumberFormat="1" applyBorder="1"/>
    <xf numFmtId="166" fontId="0" fillId="0" borderId="15" xfId="0" applyNumberFormat="1" applyFill="1" applyBorder="1"/>
    <xf numFmtId="0" fontId="0" fillId="0" borderId="15" xfId="0" applyFill="1" applyBorder="1"/>
    <xf numFmtId="166" fontId="0" fillId="0" borderId="0" xfId="0" applyNumberFormat="1" applyFill="1"/>
    <xf numFmtId="166" fontId="0" fillId="0" borderId="0" xfId="0" applyNumberFormat="1"/>
    <xf numFmtId="10" fontId="0" fillId="0" borderId="0" xfId="0" applyNumberFormat="1" applyFill="1" applyBorder="1"/>
    <xf numFmtId="0" fontId="0" fillId="0" borderId="12" xfId="0" applyFill="1" applyBorder="1"/>
    <xf numFmtId="169" fontId="0" fillId="0" borderId="23" xfId="0" applyNumberFormat="1" applyFill="1" applyBorder="1"/>
    <xf numFmtId="0" fontId="0" fillId="0" borderId="24" xfId="0" applyFill="1" applyBorder="1"/>
    <xf numFmtId="166" fontId="0" fillId="0" borderId="0" xfId="0" applyNumberFormat="1" applyFill="1" applyBorder="1"/>
    <xf numFmtId="166" fontId="0" fillId="0" borderId="15" xfId="0" applyNumberFormat="1" applyFill="1" applyBorder="1" applyAlignment="1">
      <alignment horizontal="center"/>
    </xf>
    <xf numFmtId="0" fontId="0" fillId="0" borderId="15" xfId="0" applyFill="1" applyBorder="1" applyAlignment="1">
      <alignment horizontal="center"/>
    </xf>
    <xf numFmtId="10" fontId="0" fillId="0" borderId="15" xfId="0" applyNumberFormat="1" applyFill="1" applyBorder="1" applyAlignment="1">
      <alignment horizontal="center"/>
    </xf>
    <xf numFmtId="0" fontId="3" fillId="0" borderId="15" xfId="0" applyFont="1" applyFill="1" applyBorder="1"/>
    <xf numFmtId="0" fontId="3" fillId="0" borderId="15" xfId="0" applyNumberFormat="1" applyFont="1" applyFill="1" applyBorder="1"/>
    <xf numFmtId="0" fontId="13" fillId="0" borderId="0" xfId="0" applyFont="1" applyFill="1" applyBorder="1"/>
    <xf numFmtId="0" fontId="16" fillId="0" borderId="0" xfId="0" applyFont="1" applyFill="1" applyBorder="1"/>
    <xf numFmtId="0" fontId="14" fillId="4" borderId="15" xfId="0" applyFont="1" applyFill="1" applyBorder="1"/>
    <xf numFmtId="0" fontId="15" fillId="4" borderId="15" xfId="0" applyFont="1" applyFill="1" applyBorder="1"/>
    <xf numFmtId="0" fontId="16" fillId="4" borderId="12" xfId="0" applyFont="1" applyFill="1" applyBorder="1"/>
    <xf numFmtId="0" fontId="12" fillId="4" borderId="23" xfId="0" applyFont="1" applyFill="1" applyBorder="1"/>
    <xf numFmtId="170" fontId="12" fillId="4" borderId="24" xfId="0" applyNumberFormat="1" applyFont="1" applyFill="1" applyBorder="1"/>
    <xf numFmtId="0" fontId="23" fillId="4" borderId="15" xfId="0" applyFont="1" applyFill="1" applyBorder="1"/>
    <xf numFmtId="0" fontId="24" fillId="0" borderId="0" xfId="0" applyFont="1" applyFill="1" applyBorder="1"/>
    <xf numFmtId="177" fontId="24" fillId="0" borderId="22" xfId="0" applyNumberFormat="1" applyFont="1" applyFill="1" applyBorder="1"/>
    <xf numFmtId="166" fontId="23" fillId="0" borderId="0" xfId="0" applyNumberFormat="1" applyFont="1"/>
    <xf numFmtId="0" fontId="17" fillId="0" borderId="0" xfId="0" applyFont="1" applyFill="1" applyBorder="1"/>
    <xf numFmtId="0" fontId="23" fillId="2" borderId="25" xfId="0" applyFont="1" applyFill="1" applyBorder="1"/>
    <xf numFmtId="0" fontId="23" fillId="0" borderId="0" xfId="0" applyFont="1" applyBorder="1"/>
    <xf numFmtId="0" fontId="23" fillId="2" borderId="0" xfId="0" applyFont="1" applyFill="1" applyBorder="1"/>
    <xf numFmtId="177" fontId="23" fillId="2" borderId="22" xfId="0" applyNumberFormat="1" applyFont="1" applyFill="1" applyBorder="1"/>
    <xf numFmtId="170" fontId="12" fillId="4" borderId="12" xfId="0" applyNumberFormat="1" applyFont="1" applyFill="1" applyBorder="1" applyAlignment="1">
      <alignment horizontal="left"/>
    </xf>
    <xf numFmtId="0" fontId="23" fillId="4" borderId="23" xfId="0" applyFont="1" applyFill="1" applyBorder="1"/>
    <xf numFmtId="170" fontId="12" fillId="4" borderId="23" xfId="0" applyNumberFormat="1" applyFont="1" applyFill="1" applyBorder="1" applyAlignment="1">
      <alignment horizontal="left"/>
    </xf>
    <xf numFmtId="170" fontId="12" fillId="4" borderId="15" xfId="0" applyNumberFormat="1" applyFont="1" applyFill="1" applyBorder="1" applyAlignment="1">
      <alignment horizontal="left"/>
    </xf>
    <xf numFmtId="169" fontId="12" fillId="4" borderId="15" xfId="0" applyNumberFormat="1" applyFont="1" applyFill="1" applyBorder="1" applyAlignment="1">
      <alignment horizontal="left"/>
    </xf>
    <xf numFmtId="177" fontId="23" fillId="4" borderId="15" xfId="0" applyNumberFormat="1" applyFont="1" applyFill="1" applyBorder="1" applyAlignment="1">
      <alignment horizontal="center"/>
    </xf>
    <xf numFmtId="0" fontId="12" fillId="4" borderId="15" xfId="0" applyNumberFormat="1" applyFont="1" applyFill="1" applyBorder="1"/>
    <xf numFmtId="169" fontId="12" fillId="4" borderId="22" xfId="0" applyNumberFormat="1" applyFont="1" applyFill="1" applyBorder="1"/>
    <xf numFmtId="4" fontId="12" fillId="4" borderId="15" xfId="0" applyNumberFormat="1" applyFont="1" applyFill="1" applyBorder="1"/>
    <xf numFmtId="169" fontId="12" fillId="4" borderId="15" xfId="0" applyNumberFormat="1" applyFont="1" applyFill="1" applyBorder="1"/>
    <xf numFmtId="177" fontId="23" fillId="4" borderId="24" xfId="0" applyNumberFormat="1" applyFont="1" applyFill="1" applyBorder="1"/>
    <xf numFmtId="0" fontId="12" fillId="4" borderId="15" xfId="0" applyFont="1" applyFill="1" applyBorder="1"/>
    <xf numFmtId="4" fontId="23" fillId="4" borderId="15" xfId="0" applyNumberFormat="1" applyFont="1" applyFill="1" applyBorder="1"/>
    <xf numFmtId="4" fontId="12" fillId="4" borderId="12" xfId="0" applyNumberFormat="1" applyFont="1" applyFill="1" applyBorder="1"/>
    <xf numFmtId="169" fontId="12" fillId="4" borderId="26" xfId="0" applyNumberFormat="1" applyFont="1" applyFill="1" applyBorder="1"/>
    <xf numFmtId="0" fontId="23" fillId="4" borderId="12" xfId="0" applyFont="1" applyFill="1" applyBorder="1"/>
    <xf numFmtId="177" fontId="23" fillId="4" borderId="15" xfId="0" applyNumberFormat="1" applyFont="1" applyFill="1" applyBorder="1"/>
    <xf numFmtId="0" fontId="12" fillId="2" borderId="25" xfId="0" applyFont="1" applyFill="1" applyBorder="1"/>
    <xf numFmtId="4" fontId="12" fillId="2" borderId="0" xfId="0" applyNumberFormat="1" applyFont="1" applyFill="1" applyBorder="1"/>
    <xf numFmtId="4" fontId="23" fillId="2" borderId="0" xfId="0" applyNumberFormat="1" applyFont="1" applyFill="1" applyBorder="1"/>
    <xf numFmtId="4" fontId="23" fillId="4" borderId="23" xfId="0" applyNumberFormat="1" applyFont="1" applyFill="1" applyBorder="1"/>
    <xf numFmtId="4" fontId="25" fillId="5" borderId="15" xfId="0" applyNumberFormat="1" applyFont="1" applyFill="1" applyBorder="1"/>
    <xf numFmtId="0" fontId="23" fillId="0" borderId="0" xfId="0" applyFont="1" applyFill="1" applyBorder="1"/>
    <xf numFmtId="170" fontId="23" fillId="0" borderId="0" xfId="0" applyNumberFormat="1" applyFont="1" applyFill="1" applyBorder="1"/>
    <xf numFmtId="177" fontId="23" fillId="0" borderId="0" xfId="0" applyNumberFormat="1" applyFont="1"/>
    <xf numFmtId="0" fontId="23" fillId="0" borderId="0" xfId="0" applyFont="1" applyFill="1"/>
    <xf numFmtId="170" fontId="12" fillId="4" borderId="27" xfId="0" applyNumberFormat="1" applyFont="1" applyFill="1" applyBorder="1" applyAlignment="1">
      <alignment horizontal="left"/>
    </xf>
    <xf numFmtId="0" fontId="23" fillId="4" borderId="28" xfId="0" applyFont="1" applyFill="1" applyBorder="1"/>
    <xf numFmtId="170" fontId="12" fillId="4" borderId="29" xfId="0" applyNumberFormat="1" applyFont="1" applyFill="1" applyBorder="1" applyAlignment="1">
      <alignment horizontal="left"/>
    </xf>
    <xf numFmtId="170" fontId="12" fillId="4" borderId="30" xfId="0" applyNumberFormat="1" applyFont="1" applyFill="1" applyBorder="1" applyAlignment="1">
      <alignment horizontal="left"/>
    </xf>
    <xf numFmtId="166" fontId="23" fillId="0" borderId="0" xfId="0" applyNumberFormat="1" applyFont="1" applyBorder="1"/>
    <xf numFmtId="177" fontId="23" fillId="4" borderId="30" xfId="0" applyNumberFormat="1" applyFont="1" applyFill="1" applyBorder="1" applyAlignment="1">
      <alignment horizontal="center"/>
    </xf>
    <xf numFmtId="166" fontId="23" fillId="4" borderId="30" xfId="0" applyNumberFormat="1" applyFont="1" applyFill="1" applyBorder="1"/>
    <xf numFmtId="169" fontId="12" fillId="4" borderId="22" xfId="0" applyNumberFormat="1" applyFont="1" applyFill="1" applyBorder="1" applyAlignment="1">
      <alignment horizontal="right"/>
    </xf>
    <xf numFmtId="0" fontId="23" fillId="4" borderId="0" xfId="0" applyFont="1" applyFill="1"/>
    <xf numFmtId="177" fontId="23" fillId="2" borderId="0" xfId="0" applyNumberFormat="1" applyFont="1" applyFill="1" applyBorder="1"/>
    <xf numFmtId="4" fontId="23" fillId="6" borderId="15" xfId="0" applyNumberFormat="1" applyFont="1" applyFill="1" applyBorder="1"/>
    <xf numFmtId="166" fontId="23" fillId="4" borderId="24" xfId="0" applyNumberFormat="1" applyFont="1" applyFill="1" applyBorder="1"/>
    <xf numFmtId="177" fontId="23" fillId="0" borderId="0" xfId="0" applyNumberFormat="1" applyFont="1" applyFill="1" applyBorder="1"/>
    <xf numFmtId="174" fontId="23" fillId="0" borderId="0" xfId="0" applyNumberFormat="1" applyFont="1" applyBorder="1"/>
    <xf numFmtId="10" fontId="23" fillId="0" borderId="0" xfId="0" applyNumberFormat="1" applyFont="1" applyBorder="1"/>
    <xf numFmtId="166" fontId="23" fillId="4" borderId="30" xfId="0" applyNumberFormat="1" applyFont="1" applyFill="1" applyBorder="1" applyAlignment="1">
      <alignment horizontal="center"/>
    </xf>
    <xf numFmtId="0" fontId="23" fillId="4" borderId="30" xfId="0" applyFont="1" applyFill="1" applyBorder="1" applyAlignment="1">
      <alignment horizontal="center"/>
    </xf>
    <xf numFmtId="10" fontId="23" fillId="4" borderId="30" xfId="0" applyNumberFormat="1" applyFont="1" applyFill="1" applyBorder="1" applyAlignment="1">
      <alignment horizontal="center"/>
    </xf>
    <xf numFmtId="166" fontId="23" fillId="0" borderId="15" xfId="0" applyNumberFormat="1" applyFont="1" applyFill="1" applyBorder="1"/>
    <xf numFmtId="177" fontId="23" fillId="0" borderId="0" xfId="0" applyNumberFormat="1" applyFont="1" applyFill="1"/>
    <xf numFmtId="166" fontId="21" fillId="4" borderId="15" xfId="7" applyNumberFormat="1" applyFont="1" applyFill="1" applyBorder="1"/>
    <xf numFmtId="169" fontId="12" fillId="4" borderId="26" xfId="6" applyFont="1" applyFill="1" applyBorder="1"/>
    <xf numFmtId="169" fontId="12" fillId="4" borderId="31" xfId="6" applyFont="1" applyFill="1" applyBorder="1"/>
    <xf numFmtId="169" fontId="23" fillId="4" borderId="15" xfId="6" applyFont="1" applyFill="1" applyBorder="1"/>
    <xf numFmtId="4" fontId="12" fillId="4" borderId="31" xfId="0" applyNumberFormat="1" applyFont="1" applyFill="1" applyBorder="1"/>
    <xf numFmtId="169" fontId="23" fillId="0" borderId="0" xfId="6" applyFont="1"/>
    <xf numFmtId="177" fontId="23" fillId="4" borderId="15" xfId="29" applyNumberFormat="1" applyFont="1" applyFill="1" applyBorder="1"/>
    <xf numFmtId="169" fontId="12" fillId="4" borderId="30" xfId="6" applyFont="1" applyFill="1" applyBorder="1"/>
    <xf numFmtId="169" fontId="12" fillId="4" borderId="15" xfId="6" applyFont="1" applyFill="1" applyBorder="1"/>
    <xf numFmtId="169" fontId="23" fillId="4" borderId="12" xfId="6" applyFont="1" applyFill="1" applyBorder="1"/>
    <xf numFmtId="166" fontId="23" fillId="2" borderId="0" xfId="0" applyNumberFormat="1" applyFont="1" applyFill="1" applyBorder="1"/>
    <xf numFmtId="4" fontId="23" fillId="5" borderId="15" xfId="0" applyNumberFormat="1" applyFont="1" applyFill="1" applyBorder="1"/>
    <xf numFmtId="166" fontId="23" fillId="4" borderId="15" xfId="0" applyNumberFormat="1" applyFont="1" applyFill="1" applyBorder="1"/>
    <xf numFmtId="166" fontId="23" fillId="5" borderId="15" xfId="0" applyNumberFormat="1" applyFont="1" applyFill="1" applyBorder="1"/>
    <xf numFmtId="176" fontId="5" fillId="2" borderId="0" xfId="29" applyNumberFormat="1" applyFont="1" applyFill="1"/>
    <xf numFmtId="176" fontId="6" fillId="6" borderId="0" xfId="29" applyNumberFormat="1" applyFont="1" applyFill="1"/>
    <xf numFmtId="176" fontId="5" fillId="2" borderId="0" xfId="29" applyNumberFormat="1" applyFont="1" applyFill="1" applyBorder="1" applyAlignment="1">
      <alignment horizontal="center"/>
    </xf>
    <xf numFmtId="175" fontId="1" fillId="2" borderId="19" xfId="0" applyNumberFormat="1" applyFont="1" applyFill="1" applyBorder="1"/>
    <xf numFmtId="165" fontId="5" fillId="2" borderId="0" xfId="0" applyNumberFormat="1" applyFont="1" applyFill="1"/>
    <xf numFmtId="166" fontId="5" fillId="2" borderId="0" xfId="0" applyNumberFormat="1" applyFont="1" applyFill="1" applyBorder="1"/>
    <xf numFmtId="0" fontId="0" fillId="2" borderId="32" xfId="0" applyFill="1" applyBorder="1"/>
    <xf numFmtId="165" fontId="0" fillId="2" borderId="33" xfId="0" applyNumberFormat="1" applyFill="1" applyBorder="1"/>
    <xf numFmtId="173" fontId="1" fillId="7" borderId="33" xfId="0" applyNumberFormat="1" applyFont="1" applyFill="1" applyBorder="1"/>
    <xf numFmtId="173" fontId="0" fillId="2" borderId="34" xfId="0" applyNumberFormat="1" applyFill="1" applyBorder="1"/>
    <xf numFmtId="165" fontId="0" fillId="2" borderId="32" xfId="0" applyNumberFormat="1" applyFill="1" applyBorder="1"/>
    <xf numFmtId="173" fontId="1" fillId="2" borderId="34" xfId="0" applyNumberFormat="1" applyFont="1" applyFill="1" applyBorder="1"/>
    <xf numFmtId="173" fontId="1" fillId="2" borderId="2" xfId="0" applyNumberFormat="1" applyFont="1" applyFill="1" applyBorder="1"/>
    <xf numFmtId="165" fontId="0" fillId="2" borderId="1" xfId="0" applyNumberFormat="1" applyFill="1" applyBorder="1"/>
    <xf numFmtId="173" fontId="1" fillId="7" borderId="35" xfId="0" applyNumberFormat="1" applyFont="1" applyFill="1" applyBorder="1"/>
    <xf numFmtId="0" fontId="7" fillId="3" borderId="36" xfId="0" applyFont="1" applyFill="1" applyBorder="1" applyAlignment="1">
      <alignment horizontal="center"/>
    </xf>
    <xf numFmtId="174" fontId="2" fillId="3" borderId="6" xfId="5" applyNumberFormat="1" applyFill="1" applyBorder="1"/>
    <xf numFmtId="4" fontId="28" fillId="0" borderId="15" xfId="0" applyNumberFormat="1" applyFont="1" applyBorder="1" applyAlignment="1">
      <alignment horizontal="right" vertical="top" wrapText="1"/>
    </xf>
    <xf numFmtId="165" fontId="22" fillId="7" borderId="15" xfId="4" applyNumberFormat="1" applyFont="1" applyFill="1" applyBorder="1"/>
    <xf numFmtId="0" fontId="0" fillId="2" borderId="24" xfId="0" applyFill="1" applyBorder="1"/>
    <xf numFmtId="165" fontId="3" fillId="7" borderId="11" xfId="7" applyNumberFormat="1" applyFont="1" applyFill="1" applyBorder="1"/>
    <xf numFmtId="165" fontId="2" fillId="7" borderId="11" xfId="7" applyNumberFormat="1" applyFill="1" applyBorder="1"/>
    <xf numFmtId="0" fontId="1" fillId="2" borderId="20" xfId="0" applyFont="1" applyFill="1" applyBorder="1"/>
    <xf numFmtId="165" fontId="2" fillId="2" borderId="21" xfId="7" applyNumberFormat="1" applyFill="1" applyBorder="1"/>
    <xf numFmtId="165" fontId="0" fillId="2" borderId="13" xfId="0" applyNumberFormat="1" applyFill="1" applyBorder="1"/>
    <xf numFmtId="165" fontId="0" fillId="2" borderId="14" xfId="0" applyNumberFormat="1" applyFill="1" applyBorder="1"/>
    <xf numFmtId="166" fontId="2" fillId="2" borderId="14" xfId="7" applyFill="1" applyBorder="1"/>
    <xf numFmtId="165" fontId="5" fillId="2" borderId="0" xfId="9" applyFont="1" applyFill="1" applyBorder="1"/>
    <xf numFmtId="9" fontId="29" fillId="2" borderId="0" xfId="29" applyFont="1" applyFill="1" applyBorder="1" applyAlignment="1">
      <alignment horizontal="center"/>
    </xf>
    <xf numFmtId="172" fontId="5" fillId="2" borderId="0" xfId="9" applyNumberFormat="1" applyFont="1" applyFill="1" applyBorder="1"/>
    <xf numFmtId="9" fontId="5" fillId="8" borderId="0" xfId="29" applyFont="1" applyFill="1" applyBorder="1" applyAlignment="1">
      <alignment horizontal="right"/>
    </xf>
    <xf numFmtId="166" fontId="5" fillId="2" borderId="0" xfId="4" applyFont="1" applyFill="1" applyBorder="1" applyAlignment="1">
      <alignment horizontal="center"/>
    </xf>
    <xf numFmtId="166" fontId="5" fillId="2" borderId="0" xfId="4" applyFont="1" applyFill="1" applyBorder="1"/>
    <xf numFmtId="165" fontId="5" fillId="2" borderId="0" xfId="0" applyNumberFormat="1" applyFont="1" applyFill="1" applyBorder="1"/>
    <xf numFmtId="164" fontId="5" fillId="2" borderId="0" xfId="0" applyNumberFormat="1" applyFont="1" applyFill="1"/>
    <xf numFmtId="169" fontId="17" fillId="0" borderId="22" xfId="10" applyFont="1" applyFill="1" applyBorder="1"/>
    <xf numFmtId="4" fontId="0" fillId="0" borderId="0" xfId="0" applyNumberFormat="1"/>
    <xf numFmtId="169" fontId="23" fillId="0" borderId="0" xfId="10" applyFont="1"/>
    <xf numFmtId="171" fontId="0" fillId="0" borderId="0" xfId="0" applyNumberFormat="1"/>
    <xf numFmtId="10" fontId="0" fillId="2" borderId="15" xfId="29" applyNumberFormat="1" applyFont="1" applyFill="1" applyBorder="1" applyAlignment="1">
      <alignment horizontal="center"/>
    </xf>
    <xf numFmtId="169" fontId="28" fillId="0" borderId="15" xfId="10" applyFont="1" applyBorder="1" applyAlignment="1">
      <alignment horizontal="right" vertical="top" wrapText="1"/>
    </xf>
    <xf numFmtId="168" fontId="5" fillId="2" borderId="0" xfId="11" applyFont="1" applyFill="1" applyBorder="1"/>
    <xf numFmtId="168" fontId="5" fillId="2" borderId="0" xfId="11" applyFont="1" applyFill="1"/>
    <xf numFmtId="168" fontId="6" fillId="6" borderId="0" xfId="11" applyFont="1" applyFill="1"/>
    <xf numFmtId="168" fontId="6" fillId="6" borderId="0" xfId="11" applyFont="1" applyFill="1" applyAlignment="1">
      <alignment horizontal="center"/>
    </xf>
    <xf numFmtId="168" fontId="11" fillId="6" borderId="0" xfId="11" applyFont="1" applyFill="1"/>
    <xf numFmtId="169" fontId="30" fillId="2" borderId="5" xfId="10" applyFont="1" applyFill="1" applyBorder="1"/>
    <xf numFmtId="40" fontId="13" fillId="2" borderId="37" xfId="10" applyNumberFormat="1" applyFont="1" applyFill="1" applyBorder="1" applyAlignment="1">
      <alignment horizontal="center"/>
    </xf>
    <xf numFmtId="169" fontId="30" fillId="2" borderId="0" xfId="10" applyFont="1" applyFill="1" applyBorder="1"/>
    <xf numFmtId="10" fontId="13" fillId="2" borderId="38" xfId="10" applyNumberFormat="1" applyFont="1" applyFill="1" applyBorder="1" applyAlignment="1">
      <alignment horizontal="center"/>
    </xf>
    <xf numFmtId="169" fontId="30" fillId="2" borderId="5" xfId="10" applyFont="1" applyFill="1" applyBorder="1" applyAlignment="1">
      <alignment horizontal="center"/>
    </xf>
    <xf numFmtId="169" fontId="30" fillId="2" borderId="0" xfId="10" applyFont="1" applyFill="1" applyBorder="1" applyAlignment="1">
      <alignment horizontal="center"/>
    </xf>
    <xf numFmtId="169" fontId="30" fillId="2" borderId="6" xfId="10" applyFont="1" applyFill="1" applyBorder="1" applyAlignment="1">
      <alignment horizontal="center"/>
    </xf>
    <xf numFmtId="169" fontId="30" fillId="2" borderId="39" xfId="10" applyFont="1" applyFill="1" applyBorder="1" applyAlignment="1">
      <alignment horizontal="center"/>
    </xf>
    <xf numFmtId="169" fontId="30" fillId="2" borderId="40" xfId="10" applyFont="1" applyFill="1" applyBorder="1" applyAlignment="1">
      <alignment horizontal="center"/>
    </xf>
    <xf numFmtId="169" fontId="30" fillId="2" borderId="41" xfId="10" applyFont="1" applyFill="1" applyBorder="1" applyAlignment="1">
      <alignment horizontal="center"/>
    </xf>
    <xf numFmtId="182" fontId="5" fillId="2" borderId="0" xfId="10" applyNumberFormat="1" applyFont="1" applyFill="1"/>
    <xf numFmtId="4" fontId="21" fillId="3" borderId="15" xfId="0" applyNumberFormat="1" applyFont="1" applyFill="1" applyBorder="1"/>
    <xf numFmtId="177" fontId="23" fillId="3" borderId="15" xfId="0" applyNumberFormat="1" applyFont="1" applyFill="1" applyBorder="1"/>
    <xf numFmtId="0" fontId="12" fillId="0" borderId="0" xfId="0" applyFont="1" applyProtection="1"/>
    <xf numFmtId="0" fontId="13" fillId="0" borderId="0" xfId="0" applyFont="1" applyFill="1" applyBorder="1" applyAlignment="1" applyProtection="1">
      <alignment horizontal="center"/>
    </xf>
    <xf numFmtId="0" fontId="3" fillId="0" borderId="0" xfId="27"/>
    <xf numFmtId="0" fontId="0" fillId="0" borderId="15" xfId="0" applyBorder="1"/>
    <xf numFmtId="0" fontId="13" fillId="0" borderId="0" xfId="0" applyFont="1" applyAlignment="1" applyProtection="1">
      <alignment horizontal="centerContinuous"/>
    </xf>
    <xf numFmtId="170" fontId="12" fillId="0" borderId="0" xfId="0" applyNumberFormat="1" applyFont="1" applyProtection="1"/>
    <xf numFmtId="0" fontId="22" fillId="0" borderId="15" xfId="0" applyFont="1" applyFill="1" applyBorder="1" applyProtection="1"/>
    <xf numFmtId="170" fontId="12" fillId="0" borderId="15" xfId="0" applyNumberFormat="1" applyFont="1" applyBorder="1" applyProtection="1"/>
    <xf numFmtId="166" fontId="13" fillId="0" borderId="24" xfId="0" applyNumberFormat="1" applyFont="1" applyFill="1" applyBorder="1" applyProtection="1"/>
    <xf numFmtId="0" fontId="12" fillId="0" borderId="31" xfId="0" applyFont="1" applyBorder="1" applyProtection="1"/>
    <xf numFmtId="0" fontId="12" fillId="0" borderId="42" xfId="0" applyFont="1" applyBorder="1" applyAlignment="1" applyProtection="1">
      <alignment horizontal="centerContinuous"/>
    </xf>
    <xf numFmtId="10" fontId="13" fillId="0" borderId="15" xfId="29" applyNumberFormat="1" applyFont="1" applyBorder="1" applyProtection="1"/>
    <xf numFmtId="0" fontId="12" fillId="0" borderId="43" xfId="0" applyFont="1" applyFill="1" applyBorder="1" applyProtection="1"/>
    <xf numFmtId="0" fontId="12" fillId="0" borderId="44" xfId="0" applyFont="1" applyFill="1" applyBorder="1" applyProtection="1"/>
    <xf numFmtId="0" fontId="12" fillId="0" borderId="0" xfId="0" applyFont="1" applyFill="1" applyBorder="1" applyProtection="1"/>
    <xf numFmtId="0" fontId="17" fillId="0" borderId="15" xfId="0" applyFont="1" applyFill="1" applyBorder="1" applyProtection="1"/>
    <xf numFmtId="179" fontId="13" fillId="0" borderId="0" xfId="10" applyNumberFormat="1" applyFont="1" applyFill="1" applyBorder="1" applyProtection="1"/>
    <xf numFmtId="170" fontId="12" fillId="0" borderId="0" xfId="0" applyNumberFormat="1" applyFont="1" applyFill="1" applyBorder="1" applyAlignment="1" applyProtection="1">
      <alignment horizontal="center"/>
    </xf>
    <xf numFmtId="169" fontId="12" fillId="0" borderId="0" xfId="10" applyFont="1" applyFill="1" applyBorder="1" applyProtection="1"/>
    <xf numFmtId="179" fontId="13" fillId="0" borderId="15" xfId="10" applyNumberFormat="1" applyFont="1" applyFill="1" applyBorder="1" applyAlignment="1" applyProtection="1">
      <alignment horizontal="right"/>
    </xf>
    <xf numFmtId="179" fontId="13" fillId="0" borderId="0" xfId="10" applyNumberFormat="1" applyFont="1" applyFill="1" applyBorder="1" applyAlignment="1" applyProtection="1">
      <alignment horizontal="right"/>
    </xf>
    <xf numFmtId="170" fontId="12" fillId="0" borderId="0" xfId="0" applyNumberFormat="1" applyFont="1" applyFill="1" applyBorder="1" applyProtection="1"/>
    <xf numFmtId="0" fontId="12" fillId="0" borderId="45" xfId="0" applyFont="1" applyFill="1" applyBorder="1" applyProtection="1"/>
    <xf numFmtId="169" fontId="12" fillId="0" borderId="0" xfId="10" applyFont="1" applyProtection="1"/>
    <xf numFmtId="2" fontId="12" fillId="0" borderId="0" xfId="0" applyNumberFormat="1" applyFont="1" applyProtection="1"/>
    <xf numFmtId="0" fontId="12" fillId="0" borderId="12" xfId="0" applyFont="1" applyFill="1" applyBorder="1" applyProtection="1"/>
    <xf numFmtId="169" fontId="32" fillId="0" borderId="15" xfId="10" applyFont="1" applyFill="1" applyBorder="1" applyAlignment="1" applyProtection="1"/>
    <xf numFmtId="0" fontId="12" fillId="0" borderId="0" xfId="0" applyFont="1" applyFill="1" applyProtection="1"/>
    <xf numFmtId="170" fontId="12" fillId="0" borderId="0" xfId="0" applyNumberFormat="1" applyFont="1" applyFill="1" applyProtection="1"/>
    <xf numFmtId="0" fontId="12" fillId="0" borderId="15" xfId="0" applyFont="1" applyFill="1" applyBorder="1" applyAlignment="1" applyProtection="1">
      <alignment horizontal="center"/>
    </xf>
    <xf numFmtId="0" fontId="12" fillId="0" borderId="15" xfId="0" applyFont="1" applyFill="1" applyBorder="1" applyProtection="1"/>
    <xf numFmtId="169" fontId="12" fillId="0" borderId="0" xfId="10" applyNumberFormat="1" applyFont="1" applyFill="1" applyBorder="1" applyProtection="1"/>
    <xf numFmtId="169" fontId="12" fillId="0" borderId="25" xfId="10" applyFont="1" applyFill="1" applyBorder="1" applyProtection="1"/>
    <xf numFmtId="169" fontId="12" fillId="0" borderId="46" xfId="10" applyFont="1" applyFill="1" applyBorder="1" applyProtection="1"/>
    <xf numFmtId="15" fontId="12" fillId="0" borderId="0" xfId="0" applyNumberFormat="1" applyFont="1" applyProtection="1"/>
    <xf numFmtId="169" fontId="12" fillId="0" borderId="45" xfId="10" applyFont="1" applyFill="1" applyBorder="1" applyAlignment="1" applyProtection="1">
      <alignment horizontal="right"/>
    </xf>
    <xf numFmtId="169" fontId="12" fillId="0" borderId="0" xfId="10" applyFont="1" applyFill="1" applyProtection="1"/>
    <xf numFmtId="169" fontId="12" fillId="0" borderId="15" xfId="10" applyFont="1" applyFill="1" applyBorder="1" applyAlignment="1" applyProtection="1">
      <alignment horizontal="right"/>
    </xf>
    <xf numFmtId="169" fontId="12" fillId="0" borderId="15" xfId="10" applyFont="1" applyFill="1" applyBorder="1" applyProtection="1"/>
    <xf numFmtId="169" fontId="12" fillId="0" borderId="15" xfId="10" applyNumberFormat="1" applyFont="1" applyFill="1" applyBorder="1" applyProtection="1"/>
    <xf numFmtId="169" fontId="12" fillId="0" borderId="46" xfId="10" applyFont="1" applyFill="1" applyBorder="1" applyAlignment="1" applyProtection="1">
      <alignment horizontal="right"/>
    </xf>
    <xf numFmtId="183" fontId="12" fillId="0" borderId="0" xfId="0" applyNumberFormat="1" applyFont="1" applyFill="1" applyBorder="1" applyProtection="1"/>
    <xf numFmtId="183" fontId="19" fillId="0" borderId="0" xfId="10" applyNumberFormat="1" applyFont="1" applyFill="1" applyBorder="1" applyAlignment="1" applyProtection="1">
      <alignment horizontal="right"/>
    </xf>
    <xf numFmtId="167" fontId="12" fillId="0" borderId="0" xfId="0" applyNumberFormat="1" applyFont="1" applyProtection="1"/>
    <xf numFmtId="183" fontId="12" fillId="0" borderId="26" xfId="0" applyNumberFormat="1" applyFont="1" applyFill="1" applyBorder="1" applyProtection="1"/>
    <xf numFmtId="169" fontId="12" fillId="0" borderId="43" xfId="0" applyNumberFormat="1" applyFont="1" applyFill="1" applyBorder="1" applyProtection="1"/>
    <xf numFmtId="4" fontId="12" fillId="0" borderId="0" xfId="0" applyNumberFormat="1" applyFont="1" applyFill="1" applyBorder="1" applyProtection="1"/>
    <xf numFmtId="169" fontId="12" fillId="0" borderId="0" xfId="0" applyNumberFormat="1" applyFont="1" applyFill="1" applyBorder="1" applyProtection="1"/>
    <xf numFmtId="43" fontId="12" fillId="0" borderId="0" xfId="0" applyNumberFormat="1" applyFont="1" applyFill="1" applyBorder="1" applyProtection="1"/>
    <xf numFmtId="181" fontId="12" fillId="0" borderId="0" xfId="0" applyNumberFormat="1" applyFont="1" applyFill="1" applyBorder="1" applyProtection="1"/>
    <xf numFmtId="0" fontId="12" fillId="0" borderId="24" xfId="0" applyFont="1" applyFill="1" applyBorder="1" applyProtection="1"/>
    <xf numFmtId="167" fontId="12" fillId="0" borderId="0" xfId="0" applyNumberFormat="1" applyFont="1" applyFill="1" applyBorder="1" applyProtection="1"/>
    <xf numFmtId="170" fontId="12" fillId="0" borderId="43" xfId="0" applyNumberFormat="1" applyFont="1" applyFill="1" applyBorder="1" applyProtection="1"/>
    <xf numFmtId="169" fontId="13" fillId="0" borderId="0" xfId="0" applyNumberFormat="1" applyFont="1" applyFill="1" applyBorder="1" applyProtection="1"/>
    <xf numFmtId="0" fontId="13" fillId="0" borderId="0" xfId="0" applyFont="1" applyProtection="1"/>
    <xf numFmtId="0" fontId="20" fillId="0" borderId="12" xfId="0" applyFont="1" applyFill="1" applyBorder="1" applyProtection="1"/>
    <xf numFmtId="0" fontId="20" fillId="0" borderId="15" xfId="0" applyFont="1" applyFill="1" applyBorder="1" applyAlignment="1" applyProtection="1">
      <alignment horizontal="center"/>
    </xf>
    <xf numFmtId="166" fontId="12" fillId="0" borderId="15" xfId="10" applyNumberFormat="1" applyFont="1" applyFill="1" applyBorder="1" applyAlignment="1" applyProtection="1">
      <alignment horizontal="right"/>
    </xf>
    <xf numFmtId="166" fontId="12" fillId="0" borderId="15" xfId="0" applyNumberFormat="1" applyFont="1" applyFill="1" applyBorder="1" applyProtection="1"/>
    <xf numFmtId="166" fontId="12" fillId="0" borderId="0" xfId="0" applyNumberFormat="1" applyFont="1" applyFill="1" applyBorder="1" applyProtection="1"/>
    <xf numFmtId="169" fontId="12" fillId="0" borderId="0" xfId="10" applyFont="1" applyFill="1" applyBorder="1" applyProtection="1">
      <protection locked="0"/>
    </xf>
    <xf numFmtId="187" fontId="12" fillId="0" borderId="0" xfId="0" applyNumberFormat="1" applyFont="1" applyProtection="1"/>
    <xf numFmtId="169" fontId="12" fillId="0" borderId="0" xfId="0" applyNumberFormat="1" applyFont="1" applyProtection="1"/>
    <xf numFmtId="169" fontId="12" fillId="0" borderId="0" xfId="10" applyFont="1" applyAlignment="1" applyProtection="1">
      <alignment horizontal="right"/>
    </xf>
    <xf numFmtId="4" fontId="12" fillId="0" borderId="0" xfId="0" applyNumberFormat="1" applyFont="1" applyFill="1" applyProtection="1"/>
    <xf numFmtId="176" fontId="26" fillId="6" borderId="48" xfId="29" applyNumberFormat="1" applyFont="1" applyFill="1" applyBorder="1"/>
    <xf numFmtId="165" fontId="6" fillId="6" borderId="5" xfId="8" applyFont="1" applyFill="1" applyBorder="1"/>
    <xf numFmtId="165" fontId="6" fillId="6" borderId="0" xfId="8" applyFont="1" applyFill="1" applyBorder="1"/>
    <xf numFmtId="165" fontId="6" fillId="6" borderId="0" xfId="8" applyFont="1" applyFill="1" applyBorder="1" applyAlignment="1">
      <alignment horizontal="center"/>
    </xf>
    <xf numFmtId="176" fontId="6" fillId="6" borderId="6" xfId="29" applyNumberFormat="1" applyFont="1" applyFill="1" applyBorder="1"/>
    <xf numFmtId="166" fontId="12" fillId="0" borderId="0" xfId="0" applyNumberFormat="1" applyFont="1" applyProtection="1"/>
    <xf numFmtId="4" fontId="12" fillId="0" borderId="0" xfId="0" applyNumberFormat="1" applyFont="1" applyProtection="1"/>
    <xf numFmtId="188" fontId="34" fillId="0" borderId="0" xfId="0" applyNumberFormat="1" applyFont="1" applyAlignment="1">
      <alignment horizontal="right" vertical="center"/>
    </xf>
    <xf numFmtId="166" fontId="12" fillId="0" borderId="0" xfId="0" applyNumberFormat="1" applyFont="1" applyFill="1" applyProtection="1"/>
    <xf numFmtId="188" fontId="39" fillId="0" borderId="0" xfId="0" applyNumberFormat="1" applyFont="1" applyAlignment="1">
      <alignment horizontal="right" vertical="center"/>
    </xf>
    <xf numFmtId="188" fontId="40" fillId="0" borderId="0" xfId="0" applyNumberFormat="1" applyFont="1" applyAlignment="1">
      <alignment horizontal="right" vertical="center"/>
    </xf>
    <xf numFmtId="184" fontId="12" fillId="0" borderId="0" xfId="0" applyNumberFormat="1" applyFont="1" applyFill="1" applyBorder="1" applyProtection="1"/>
    <xf numFmtId="1" fontId="21" fillId="3" borderId="15" xfId="0" applyNumberFormat="1" applyFont="1" applyFill="1" applyBorder="1"/>
    <xf numFmtId="169" fontId="13" fillId="0" borderId="0" xfId="0" applyNumberFormat="1" applyFont="1" applyFill="1" applyBorder="1" applyAlignment="1" applyProtection="1">
      <alignment horizontal="center"/>
    </xf>
    <xf numFmtId="165" fontId="26" fillId="6" borderId="49" xfId="8" applyFont="1" applyFill="1" applyBorder="1" applyAlignment="1">
      <alignment horizontal="center"/>
    </xf>
    <xf numFmtId="165" fontId="0" fillId="3" borderId="48" xfId="0" applyNumberFormat="1" applyFill="1" applyBorder="1" applyAlignment="1">
      <alignment horizontal="center"/>
    </xf>
    <xf numFmtId="168" fontId="9" fillId="6" borderId="0" xfId="11" applyFont="1" applyFill="1" applyAlignment="1">
      <alignment horizontal="center"/>
    </xf>
    <xf numFmtId="168" fontId="11" fillId="6" borderId="0" xfId="11" applyFont="1" applyFill="1" applyAlignment="1">
      <alignment horizontal="center"/>
    </xf>
    <xf numFmtId="0" fontId="12" fillId="0" borderId="0" xfId="0" applyNumberFormat="1" applyFont="1" applyProtection="1"/>
    <xf numFmtId="0" fontId="50" fillId="0" borderId="0" xfId="0" applyFont="1" applyAlignment="1">
      <alignment horizontal="right" vertical="center" wrapText="1"/>
    </xf>
    <xf numFmtId="10" fontId="0" fillId="0" borderId="0" xfId="29" applyNumberFormat="1" applyFont="1"/>
    <xf numFmtId="4" fontId="50" fillId="0" borderId="0" xfId="0" applyNumberFormat="1" applyFont="1" applyAlignment="1">
      <alignment horizontal="right" vertical="center" wrapText="1"/>
    </xf>
    <xf numFmtId="4" fontId="50" fillId="0" borderId="50" xfId="0" applyNumberFormat="1" applyFont="1" applyBorder="1" applyAlignment="1">
      <alignment horizontal="right" vertical="center" wrapText="1"/>
    </xf>
    <xf numFmtId="0" fontId="50" fillId="0" borderId="50" xfId="0" applyFont="1" applyBorder="1" applyAlignment="1">
      <alignment horizontal="right" vertical="center" wrapText="1"/>
    </xf>
    <xf numFmtId="0" fontId="50" fillId="0" borderId="0" xfId="0" applyFont="1" applyAlignment="1">
      <alignment horizontal="center" vertical="center" wrapText="1"/>
    </xf>
    <xf numFmtId="4" fontId="50" fillId="0" borderId="0" xfId="0" applyNumberFormat="1" applyFont="1" applyAlignment="1">
      <alignment horizontal="center" vertical="center" wrapText="1"/>
    </xf>
    <xf numFmtId="4" fontId="50" fillId="0" borderId="50" xfId="0" applyNumberFormat="1" applyFont="1" applyBorder="1" applyAlignment="1">
      <alignment horizontal="center" vertical="center" wrapText="1"/>
    </xf>
    <xf numFmtId="0" fontId="50" fillId="0" borderId="50" xfId="0" applyFont="1" applyBorder="1" applyAlignment="1">
      <alignment horizontal="center" vertical="center" wrapText="1"/>
    </xf>
    <xf numFmtId="9" fontId="12" fillId="0" borderId="0" xfId="0" applyNumberFormat="1" applyFont="1" applyProtection="1"/>
    <xf numFmtId="0" fontId="12" fillId="9" borderId="0" xfId="0" applyFont="1" applyFill="1" applyProtection="1"/>
    <xf numFmtId="0" fontId="12" fillId="0" borderId="26" xfId="0" applyFont="1" applyFill="1" applyBorder="1" applyProtection="1"/>
    <xf numFmtId="1" fontId="0" fillId="2" borderId="25" xfId="0" applyNumberFormat="1" applyFill="1" applyBorder="1"/>
    <xf numFmtId="0" fontId="12" fillId="0" borderId="0" xfId="0" applyFont="1" applyBorder="1" applyProtection="1"/>
    <xf numFmtId="179" fontId="12" fillId="0" borderId="25" xfId="10" applyNumberFormat="1" applyFont="1" applyFill="1" applyBorder="1" applyProtection="1"/>
    <xf numFmtId="169" fontId="12" fillId="0" borderId="0" xfId="10" applyFont="1" applyBorder="1" applyProtection="1"/>
    <xf numFmtId="186" fontId="12" fillId="0" borderId="0" xfId="0" applyNumberFormat="1" applyFont="1" applyBorder="1" applyProtection="1"/>
    <xf numFmtId="43" fontId="13" fillId="0" borderId="0" xfId="0" applyNumberFormat="1" applyFont="1" applyBorder="1" applyProtection="1"/>
    <xf numFmtId="167" fontId="12" fillId="0" borderId="0" xfId="0" applyNumberFormat="1" applyFont="1" applyBorder="1" applyProtection="1"/>
    <xf numFmtId="43" fontId="12" fillId="0" borderId="0" xfId="0" applyNumberFormat="1" applyFont="1" applyBorder="1" applyProtection="1"/>
    <xf numFmtId="185" fontId="12" fillId="0" borderId="0" xfId="0" applyNumberFormat="1" applyFont="1" applyBorder="1" applyProtection="1"/>
    <xf numFmtId="187" fontId="12" fillId="0" borderId="0" xfId="0" applyNumberFormat="1" applyFont="1" applyBorder="1" applyProtection="1"/>
    <xf numFmtId="166" fontId="12" fillId="0" borderId="0" xfId="0" applyNumberFormat="1" applyFont="1" applyBorder="1" applyProtection="1"/>
    <xf numFmtId="0" fontId="13" fillId="0" borderId="0" xfId="0" applyFont="1" applyBorder="1" applyProtection="1"/>
    <xf numFmtId="0" fontId="2" fillId="0" borderId="0" xfId="1" applyFont="1" applyFill="1"/>
    <xf numFmtId="169" fontId="0" fillId="0" borderId="0" xfId="10" applyFont="1" applyFill="1"/>
    <xf numFmtId="169" fontId="13" fillId="0" borderId="15" xfId="10" applyNumberFormat="1" applyFont="1" applyFill="1" applyBorder="1" applyAlignment="1" applyProtection="1">
      <alignment horizontal="center"/>
    </xf>
    <xf numFmtId="0" fontId="33" fillId="6" borderId="45" xfId="0" applyNumberFormat="1" applyFont="1" applyFill="1" applyBorder="1" applyAlignment="1" applyProtection="1">
      <alignment horizontal="center"/>
      <protection locked="0"/>
    </xf>
    <xf numFmtId="0" fontId="12" fillId="0" borderId="25" xfId="0" applyFont="1" applyFill="1" applyBorder="1" applyAlignment="1" applyProtection="1">
      <alignment horizontal="left"/>
    </xf>
    <xf numFmtId="169" fontId="12" fillId="0" borderId="25" xfId="10" applyFont="1" applyBorder="1" applyAlignment="1" applyProtection="1">
      <alignment horizontal="left"/>
    </xf>
    <xf numFmtId="169" fontId="12" fillId="0" borderId="25" xfId="10" applyFont="1" applyFill="1" applyBorder="1" applyAlignment="1" applyProtection="1">
      <alignment horizontal="left"/>
    </xf>
    <xf numFmtId="169" fontId="51" fillId="0" borderId="0" xfId="10" applyFont="1" applyFill="1" applyBorder="1" applyAlignment="1" applyProtection="1">
      <alignment horizontal="center"/>
    </xf>
    <xf numFmtId="0" fontId="12" fillId="0" borderId="15" xfId="0" applyFont="1" applyBorder="1" applyProtection="1"/>
    <xf numFmtId="2" fontId="33" fillId="0" borderId="15" xfId="29" applyNumberFormat="1" applyFont="1" applyFill="1" applyBorder="1" applyProtection="1">
      <protection locked="0"/>
    </xf>
    <xf numFmtId="0" fontId="12" fillId="0" borderId="46" xfId="0" applyFont="1" applyFill="1" applyBorder="1" applyProtection="1"/>
    <xf numFmtId="0" fontId="52" fillId="0" borderId="0" xfId="0" applyFont="1"/>
    <xf numFmtId="169" fontId="53" fillId="0" borderId="15" xfId="10" applyFont="1" applyFill="1" applyBorder="1" applyAlignment="1"/>
    <xf numFmtId="0" fontId="53" fillId="0" borderId="15" xfId="0" applyFont="1" applyFill="1" applyBorder="1" applyAlignment="1">
      <alignment horizontal="center"/>
    </xf>
    <xf numFmtId="0" fontId="49" fillId="0" borderId="0" xfId="0" applyFont="1"/>
    <xf numFmtId="0" fontId="0" fillId="0" borderId="0" xfId="0" applyAlignment="1">
      <alignment horizontal="center"/>
    </xf>
    <xf numFmtId="0" fontId="48" fillId="10" borderId="0" xfId="0" applyFont="1" applyFill="1"/>
    <xf numFmtId="169" fontId="48" fillId="10" borderId="0" xfId="10" applyFont="1" applyFill="1"/>
    <xf numFmtId="0" fontId="49" fillId="0" borderId="0" xfId="0" applyFont="1" applyAlignment="1">
      <alignment horizontal="center"/>
    </xf>
    <xf numFmtId="0" fontId="54" fillId="11" borderId="15" xfId="0" applyFont="1" applyFill="1" applyBorder="1" applyAlignment="1">
      <alignment horizontal="center"/>
    </xf>
    <xf numFmtId="0" fontId="54" fillId="11" borderId="15" xfId="0" applyFont="1" applyFill="1" applyBorder="1"/>
    <xf numFmtId="0" fontId="54" fillId="0" borderId="15" xfId="0" applyFont="1" applyFill="1" applyBorder="1" applyAlignment="1">
      <alignment horizontal="center"/>
    </xf>
    <xf numFmtId="0" fontId="49" fillId="0" borderId="15" xfId="0" applyFont="1" applyFill="1" applyBorder="1" applyAlignment="1">
      <alignment horizontal="center"/>
    </xf>
    <xf numFmtId="0" fontId="49" fillId="0" borderId="15" xfId="0" applyFont="1" applyBorder="1" applyAlignment="1">
      <alignment horizontal="center"/>
    </xf>
    <xf numFmtId="0" fontId="49" fillId="11" borderId="15" xfId="0" applyFont="1" applyFill="1" applyBorder="1" applyAlignment="1">
      <alignment horizontal="center"/>
    </xf>
    <xf numFmtId="0" fontId="55" fillId="10" borderId="15" xfId="0" applyFont="1" applyFill="1" applyBorder="1" applyAlignment="1">
      <alignment horizontal="center"/>
    </xf>
    <xf numFmtId="0" fontId="56" fillId="10" borderId="23" xfId="0" applyFont="1" applyFill="1" applyBorder="1" applyAlignment="1">
      <alignment horizontal="center"/>
    </xf>
    <xf numFmtId="169" fontId="0" fillId="0" borderId="15" xfId="10" applyFont="1" applyFill="1" applyBorder="1"/>
    <xf numFmtId="169" fontId="0" fillId="0" borderId="15" xfId="10" applyFont="1" applyBorder="1"/>
    <xf numFmtId="43" fontId="49" fillId="0" borderId="15" xfId="0" applyNumberFormat="1" applyFont="1" applyFill="1" applyBorder="1"/>
    <xf numFmtId="0" fontId="12" fillId="0" borderId="0" xfId="0" applyFont="1" applyBorder="1" applyAlignment="1" applyProtection="1">
      <alignment horizontal="center"/>
    </xf>
    <xf numFmtId="169" fontId="12" fillId="0" borderId="0" xfId="0" applyNumberFormat="1" applyFont="1" applyBorder="1" applyAlignment="1" applyProtection="1">
      <alignment horizontal="center"/>
    </xf>
    <xf numFmtId="0" fontId="57" fillId="10" borderId="12" xfId="0" applyFont="1" applyFill="1" applyBorder="1" applyAlignment="1" applyProtection="1">
      <alignment horizontal="center"/>
    </xf>
    <xf numFmtId="183" fontId="58" fillId="10" borderId="15" xfId="0" applyNumberFormat="1" applyFont="1" applyFill="1" applyBorder="1" applyAlignment="1" applyProtection="1">
      <alignment horizontal="center"/>
    </xf>
    <xf numFmtId="0" fontId="59" fillId="10" borderId="46" xfId="0" applyFont="1" applyFill="1" applyBorder="1" applyAlignment="1" applyProtection="1">
      <alignment horizontal="center"/>
    </xf>
    <xf numFmtId="0" fontId="59" fillId="10" borderId="43" xfId="0" applyFont="1" applyFill="1" applyBorder="1" applyAlignment="1" applyProtection="1">
      <alignment horizontal="center"/>
    </xf>
    <xf numFmtId="0" fontId="59" fillId="10" borderId="15" xfId="0" applyFont="1" applyFill="1" applyBorder="1" applyAlignment="1" applyProtection="1">
      <alignment horizontal="center"/>
    </xf>
    <xf numFmtId="0" fontId="59" fillId="10" borderId="26" xfId="0" applyFont="1" applyFill="1" applyBorder="1" applyAlignment="1" applyProtection="1">
      <alignment horizontal="center"/>
    </xf>
    <xf numFmtId="0" fontId="59" fillId="10" borderId="42" xfId="0" applyFont="1" applyFill="1" applyBorder="1" applyAlignment="1" applyProtection="1">
      <alignment horizontal="center"/>
    </xf>
    <xf numFmtId="0" fontId="59" fillId="10" borderId="44" xfId="0" applyFont="1" applyFill="1" applyBorder="1" applyAlignment="1" applyProtection="1">
      <alignment horizontal="center"/>
    </xf>
    <xf numFmtId="0" fontId="59" fillId="10" borderId="45" xfId="0" applyFont="1" applyFill="1" applyBorder="1" applyAlignment="1" applyProtection="1">
      <alignment horizontal="center"/>
    </xf>
    <xf numFmtId="179" fontId="31" fillId="6" borderId="15" xfId="10" applyNumberFormat="1" applyFont="1" applyFill="1" applyBorder="1" applyAlignment="1" applyProtection="1">
      <alignment horizontal="center"/>
      <protection locked="0"/>
    </xf>
    <xf numFmtId="0" fontId="2" fillId="0" borderId="0" xfId="1" applyFont="1"/>
    <xf numFmtId="0" fontId="60" fillId="10" borderId="27" xfId="0" applyFont="1" applyFill="1" applyBorder="1" applyProtection="1"/>
    <xf numFmtId="0" fontId="61" fillId="10" borderId="28" xfId="0" applyFont="1" applyFill="1" applyBorder="1" applyProtection="1"/>
    <xf numFmtId="169" fontId="61" fillId="10" borderId="29" xfId="0" applyNumberFormat="1" applyFont="1" applyFill="1" applyBorder="1" applyProtection="1"/>
    <xf numFmtId="14" fontId="12" fillId="0" borderId="0" xfId="0" applyNumberFormat="1" applyFont="1" applyProtection="1"/>
    <xf numFmtId="169" fontId="12" fillId="0" borderId="25" xfId="10" applyFont="1" applyBorder="1" applyProtection="1"/>
    <xf numFmtId="169" fontId="12" fillId="0" borderId="25" xfId="10" applyNumberFormat="1" applyFont="1" applyFill="1" applyBorder="1" applyAlignment="1" applyProtection="1">
      <alignment horizontal="right"/>
    </xf>
    <xf numFmtId="0" fontId="58" fillId="12" borderId="24" xfId="0" applyFont="1" applyFill="1" applyBorder="1" applyProtection="1"/>
    <xf numFmtId="183" fontId="13" fillId="9" borderId="15" xfId="0" applyNumberFormat="1" applyFont="1" applyFill="1" applyBorder="1" applyProtection="1"/>
    <xf numFmtId="0" fontId="13" fillId="9" borderId="12" xfId="0" applyFont="1" applyFill="1" applyBorder="1" applyProtection="1"/>
    <xf numFmtId="183" fontId="13" fillId="9" borderId="24" xfId="0" applyNumberFormat="1" applyFont="1" applyFill="1" applyBorder="1" applyProtection="1"/>
    <xf numFmtId="169" fontId="19" fillId="0" borderId="46" xfId="10" applyFont="1" applyFill="1" applyBorder="1" applyAlignment="1" applyProtection="1">
      <alignment horizontal="center"/>
    </xf>
    <xf numFmtId="183" fontId="12" fillId="0" borderId="46" xfId="0" applyNumberFormat="1" applyFont="1" applyFill="1" applyBorder="1" applyAlignment="1" applyProtection="1">
      <alignment horizontal="center"/>
    </xf>
    <xf numFmtId="169" fontId="19" fillId="0" borderId="45" xfId="10" applyFont="1" applyFill="1" applyBorder="1" applyAlignment="1" applyProtection="1">
      <alignment horizontal="center"/>
    </xf>
    <xf numFmtId="183" fontId="12" fillId="0" borderId="45" xfId="0" applyNumberFormat="1" applyFont="1" applyFill="1" applyBorder="1" applyAlignment="1" applyProtection="1">
      <alignment horizontal="center"/>
    </xf>
    <xf numFmtId="169" fontId="19" fillId="0" borderId="26" xfId="10" applyFont="1" applyFill="1" applyBorder="1" applyAlignment="1" applyProtection="1">
      <alignment horizontal="center"/>
    </xf>
    <xf numFmtId="183" fontId="12" fillId="0" borderId="26" xfId="0" applyNumberFormat="1" applyFont="1" applyFill="1" applyBorder="1" applyAlignment="1" applyProtection="1">
      <alignment horizontal="center"/>
    </xf>
    <xf numFmtId="183" fontId="13" fillId="9" borderId="23" xfId="0" applyNumberFormat="1" applyFont="1" applyFill="1" applyBorder="1" applyAlignment="1" applyProtection="1">
      <alignment horizontal="center"/>
    </xf>
    <xf numFmtId="183" fontId="13" fillId="9" borderId="24" xfId="0" applyNumberFormat="1" applyFont="1" applyFill="1" applyBorder="1" applyAlignment="1" applyProtection="1">
      <alignment horizontal="center"/>
    </xf>
    <xf numFmtId="0" fontId="28" fillId="0" borderId="15" xfId="0" applyFont="1" applyFill="1" applyBorder="1" applyProtection="1"/>
    <xf numFmtId="0" fontId="28" fillId="0" borderId="45" xfId="0" applyFont="1" applyFill="1" applyBorder="1" applyProtection="1"/>
    <xf numFmtId="0" fontId="28" fillId="0" borderId="31" xfId="0" applyFont="1" applyFill="1" applyBorder="1" applyProtection="1"/>
    <xf numFmtId="0" fontId="28" fillId="0" borderId="12" xfId="0" applyFont="1" applyFill="1" applyBorder="1" applyProtection="1"/>
    <xf numFmtId="0" fontId="62" fillId="10" borderId="46" xfId="0" applyFont="1" applyFill="1" applyBorder="1" applyAlignment="1" applyProtection="1">
      <alignment horizontal="center"/>
    </xf>
    <xf numFmtId="9" fontId="12" fillId="0" borderId="15" xfId="29" applyFont="1" applyFill="1" applyBorder="1" applyProtection="1">
      <protection locked="0"/>
    </xf>
    <xf numFmtId="0" fontId="13" fillId="0" borderId="12" xfId="0" applyFont="1" applyFill="1" applyBorder="1" applyProtection="1"/>
    <xf numFmtId="0" fontId="13" fillId="0" borderId="24" xfId="0" applyFont="1" applyFill="1" applyBorder="1" applyProtection="1"/>
    <xf numFmtId="39" fontId="13" fillId="0" borderId="15" xfId="10" applyNumberFormat="1" applyFont="1" applyFill="1" applyBorder="1" applyProtection="1"/>
    <xf numFmtId="166" fontId="13" fillId="0" borderId="24" xfId="10" applyNumberFormat="1" applyFont="1" applyFill="1" applyBorder="1" applyProtection="1"/>
    <xf numFmtId="10" fontId="27" fillId="9" borderId="15" xfId="0" applyNumberFormat="1" applyFont="1" applyFill="1" applyBorder="1" applyProtection="1"/>
    <xf numFmtId="0" fontId="58" fillId="12" borderId="12" xfId="0" applyFont="1" applyFill="1" applyBorder="1" applyProtection="1"/>
    <xf numFmtId="165" fontId="58" fillId="12" borderId="0" xfId="0" applyNumberFormat="1" applyFont="1" applyFill="1"/>
    <xf numFmtId="168" fontId="10" fillId="6" borderId="0" xfId="11" applyFont="1" applyFill="1" applyAlignment="1">
      <alignment horizontal="left"/>
    </xf>
    <xf numFmtId="0" fontId="4" fillId="13" borderId="5" xfId="0" applyFont="1" applyFill="1" applyBorder="1" applyAlignment="1">
      <alignment horizontal="left"/>
    </xf>
    <xf numFmtId="165" fontId="0" fillId="13" borderId="0" xfId="0" applyNumberFormat="1" applyFill="1" applyBorder="1" applyAlignment="1">
      <alignment horizontal="center"/>
    </xf>
    <xf numFmtId="0" fontId="0" fillId="13" borderId="0" xfId="0" applyFill="1" applyBorder="1" applyAlignment="1">
      <alignment horizontal="center"/>
    </xf>
    <xf numFmtId="165" fontId="0" fillId="13" borderId="6" xfId="0" applyNumberFormat="1" applyFill="1" applyBorder="1" applyAlignment="1">
      <alignment horizontal="center"/>
    </xf>
    <xf numFmtId="15" fontId="31" fillId="6" borderId="45" xfId="0" applyNumberFormat="1" applyFont="1" applyFill="1" applyBorder="1" applyAlignment="1" applyProtection="1">
      <alignment horizontal="left"/>
      <protection locked="0"/>
    </xf>
    <xf numFmtId="0" fontId="6" fillId="10" borderId="23" xfId="0" applyFont="1" applyFill="1" applyBorder="1" applyProtection="1"/>
    <xf numFmtId="170" fontId="6" fillId="10" borderId="24" xfId="0" applyNumberFormat="1" applyFont="1" applyFill="1" applyBorder="1" applyProtection="1"/>
    <xf numFmtId="169" fontId="12" fillId="0" borderId="45" xfId="10" applyFont="1" applyFill="1" applyBorder="1" applyAlignment="1" applyProtection="1">
      <alignment horizontal="center"/>
      <protection locked="0"/>
    </xf>
    <xf numFmtId="169" fontId="12" fillId="0" borderId="46" xfId="10" applyFont="1" applyFill="1" applyBorder="1" applyAlignment="1" applyProtection="1">
      <alignment horizontal="center"/>
    </xf>
    <xf numFmtId="169" fontId="12" fillId="0" borderId="45" xfId="10" applyFont="1" applyFill="1" applyBorder="1" applyAlignment="1" applyProtection="1">
      <alignment horizontal="center"/>
    </xf>
    <xf numFmtId="169" fontId="12" fillId="0" borderId="45" xfId="10" applyFont="1" applyFill="1" applyBorder="1" applyProtection="1"/>
    <xf numFmtId="169" fontId="12" fillId="0" borderId="45" xfId="10" applyFont="1" applyFill="1" applyBorder="1" applyProtection="1">
      <protection locked="0"/>
    </xf>
    <xf numFmtId="0" fontId="57" fillId="12" borderId="62" xfId="0" applyFont="1" applyFill="1" applyBorder="1" applyAlignment="1" applyProtection="1">
      <alignment horizontal="center"/>
    </xf>
    <xf numFmtId="0" fontId="57" fillId="12" borderId="63" xfId="0" applyFont="1" applyFill="1" applyBorder="1" applyAlignment="1" applyProtection="1">
      <alignment horizontal="center"/>
    </xf>
    <xf numFmtId="0" fontId="51" fillId="0" borderId="0" xfId="0" applyFont="1" applyFill="1" applyProtection="1"/>
    <xf numFmtId="0" fontId="51" fillId="0" borderId="0" xfId="0" applyFont="1" applyProtection="1"/>
    <xf numFmtId="0" fontId="51" fillId="0" borderId="0" xfId="0" applyFont="1" applyFill="1" applyBorder="1" applyProtection="1"/>
    <xf numFmtId="0" fontId="12" fillId="0" borderId="0" xfId="0" applyFont="1" applyFill="1" applyBorder="1" applyAlignment="1" applyProtection="1">
      <alignment horizontal="center"/>
    </xf>
    <xf numFmtId="179" fontId="13" fillId="0" borderId="31" xfId="10" applyNumberFormat="1" applyFont="1" applyFill="1" applyBorder="1" applyProtection="1"/>
    <xf numFmtId="170" fontId="13" fillId="9" borderId="29" xfId="0" applyNumberFormat="1" applyFont="1" applyFill="1" applyBorder="1" applyProtection="1"/>
    <xf numFmtId="183" fontId="12" fillId="0" borderId="25" xfId="0" applyNumberFormat="1" applyFont="1" applyFill="1" applyBorder="1" applyAlignment="1" applyProtection="1">
      <alignment horizontal="center"/>
    </xf>
    <xf numFmtId="183" fontId="12" fillId="0" borderId="31" xfId="0" applyNumberFormat="1" applyFont="1" applyFill="1" applyBorder="1" applyAlignment="1" applyProtection="1">
      <alignment horizontal="center"/>
    </xf>
    <xf numFmtId="0" fontId="22" fillId="0" borderId="12" xfId="0" applyFont="1" applyFill="1" applyBorder="1" applyProtection="1"/>
    <xf numFmtId="183" fontId="13" fillId="0" borderId="24" xfId="0" applyNumberFormat="1" applyFont="1" applyFill="1" applyBorder="1" applyProtection="1"/>
    <xf numFmtId="183" fontId="13" fillId="0" borderId="23" xfId="0" applyNumberFormat="1" applyFont="1" applyFill="1" applyBorder="1" applyAlignment="1" applyProtection="1">
      <alignment horizontal="center"/>
    </xf>
    <xf numFmtId="183" fontId="13" fillId="0" borderId="24" xfId="0" applyNumberFormat="1" applyFont="1" applyFill="1" applyBorder="1" applyAlignment="1" applyProtection="1">
      <alignment horizontal="center"/>
    </xf>
    <xf numFmtId="0" fontId="62" fillId="10" borderId="12" xfId="0" applyFont="1" applyFill="1" applyBorder="1" applyAlignment="1" applyProtection="1">
      <alignment horizontal="center"/>
    </xf>
    <xf numFmtId="0" fontId="59" fillId="10" borderId="12" xfId="0" applyFont="1" applyFill="1" applyBorder="1" applyAlignment="1" applyProtection="1">
      <alignment horizontal="center"/>
    </xf>
    <xf numFmtId="0" fontId="12" fillId="0" borderId="0" xfId="0" applyFont="1" applyBorder="1" applyAlignment="1" applyProtection="1">
      <alignment horizontal="centerContinuous"/>
    </xf>
    <xf numFmtId="15" fontId="12" fillId="0" borderId="0" xfId="0" applyNumberFormat="1" applyFont="1" applyFill="1" applyBorder="1" applyProtection="1"/>
    <xf numFmtId="15" fontId="31" fillId="0" borderId="0" xfId="0" applyNumberFormat="1" applyFont="1" applyFill="1" applyBorder="1" applyAlignment="1" applyProtection="1">
      <alignment horizontal="left"/>
      <protection locked="0"/>
    </xf>
    <xf numFmtId="15" fontId="31" fillId="0" borderId="0" xfId="0" applyNumberFormat="1" applyFont="1" applyFill="1" applyBorder="1" applyProtection="1">
      <protection locked="0"/>
    </xf>
    <xf numFmtId="166" fontId="12" fillId="0" borderId="0" xfId="0" applyNumberFormat="1" applyFont="1" applyFill="1" applyAlignment="1" applyProtection="1">
      <alignment horizontal="center"/>
    </xf>
    <xf numFmtId="0" fontId="12" fillId="0" borderId="0" xfId="0" applyFont="1" applyFill="1" applyAlignment="1" applyProtection="1">
      <alignment horizontal="center"/>
    </xf>
    <xf numFmtId="170" fontId="12" fillId="0" borderId="0" xfId="0" applyNumberFormat="1" applyFont="1" applyFill="1" applyAlignment="1" applyProtection="1">
      <alignment horizontal="center"/>
    </xf>
    <xf numFmtId="2" fontId="12" fillId="0" borderId="0" xfId="0" applyNumberFormat="1" applyFont="1" applyFill="1" applyBorder="1" applyProtection="1"/>
    <xf numFmtId="43" fontId="12" fillId="0" borderId="0" xfId="0" applyNumberFormat="1" applyFont="1" applyProtection="1"/>
    <xf numFmtId="169" fontId="34" fillId="0" borderId="0" xfId="10" applyFont="1" applyAlignment="1">
      <alignment horizontal="right" vertical="center"/>
    </xf>
    <xf numFmtId="0" fontId="48" fillId="10" borderId="0" xfId="0" applyFont="1" applyFill="1" applyAlignment="1">
      <alignment horizontal="center"/>
    </xf>
    <xf numFmtId="0" fontId="49" fillId="0" borderId="25" xfId="0" applyFont="1" applyFill="1" applyBorder="1" applyAlignment="1">
      <alignment horizontal="center"/>
    </xf>
    <xf numFmtId="0" fontId="56" fillId="10" borderId="15" xfId="0" applyFont="1" applyFill="1" applyBorder="1" applyAlignment="1">
      <alignment horizontal="center"/>
    </xf>
    <xf numFmtId="43" fontId="0" fillId="0" borderId="15" xfId="0" applyNumberFormat="1" applyBorder="1"/>
    <xf numFmtId="43" fontId="49" fillId="9" borderId="15" xfId="0" applyNumberFormat="1" applyFont="1" applyFill="1" applyBorder="1"/>
    <xf numFmtId="43" fontId="0" fillId="0" borderId="0" xfId="0" applyNumberFormat="1"/>
    <xf numFmtId="0" fontId="22" fillId="0" borderId="15" xfId="0" applyFont="1" applyFill="1" applyBorder="1" applyAlignment="1">
      <alignment horizontal="center"/>
    </xf>
    <xf numFmtId="169" fontId="59" fillId="12" borderId="15" xfId="10" applyNumberFormat="1" applyFont="1" applyFill="1" applyBorder="1" applyAlignment="1" applyProtection="1">
      <alignment horizontal="center"/>
    </xf>
    <xf numFmtId="179" fontId="12" fillId="0" borderId="0" xfId="10" applyNumberFormat="1" applyFont="1" applyFill="1" applyBorder="1" applyProtection="1"/>
    <xf numFmtId="0" fontId="0" fillId="0" borderId="0" xfId="1" applyFont="1" applyFill="1"/>
    <xf numFmtId="43" fontId="0" fillId="0" borderId="0" xfId="1" applyNumberFormat="1" applyFont="1" applyFill="1"/>
    <xf numFmtId="192" fontId="12" fillId="0" borderId="0" xfId="0" applyNumberFormat="1" applyFont="1" applyBorder="1" applyAlignment="1" applyProtection="1">
      <alignment horizontal="center"/>
    </xf>
    <xf numFmtId="183" fontId="12" fillId="0" borderId="0" xfId="0" applyNumberFormat="1" applyFont="1" applyProtection="1"/>
    <xf numFmtId="0" fontId="17" fillId="0" borderId="0" xfId="0" applyFont="1" applyFill="1" applyBorder="1" applyProtection="1"/>
    <xf numFmtId="169" fontId="32" fillId="0" borderId="0" xfId="10" applyFont="1" applyFill="1" applyBorder="1" applyAlignment="1" applyProtection="1"/>
    <xf numFmtId="169" fontId="13" fillId="0" borderId="51" xfId="10" applyNumberFormat="1" applyFont="1" applyFill="1" applyBorder="1" applyAlignment="1" applyProtection="1">
      <alignment horizontal="right"/>
    </xf>
    <xf numFmtId="169" fontId="13" fillId="0" borderId="21" xfId="10" applyNumberFormat="1" applyFont="1" applyFill="1" applyBorder="1" applyAlignment="1" applyProtection="1">
      <alignment horizontal="right"/>
    </xf>
    <xf numFmtId="179" fontId="57" fillId="12" borderId="62" xfId="0" applyNumberFormat="1" applyFont="1" applyFill="1" applyBorder="1" applyAlignment="1" applyProtection="1">
      <alignment horizontal="center"/>
    </xf>
    <xf numFmtId="1" fontId="53" fillId="0" borderId="15" xfId="0" applyNumberFormat="1" applyFont="1" applyFill="1" applyBorder="1" applyAlignment="1">
      <alignment horizontal="center"/>
    </xf>
    <xf numFmtId="0" fontId="43" fillId="14" borderId="52" xfId="0" applyNumberFormat="1" applyFont="1" applyFill="1" applyBorder="1" applyAlignment="1" applyProtection="1">
      <alignment horizontal="center"/>
    </xf>
    <xf numFmtId="0" fontId="43" fillId="14" borderId="42" xfId="0" applyNumberFormat="1" applyFont="1" applyFill="1" applyBorder="1" applyAlignment="1" applyProtection="1">
      <alignment horizontal="center"/>
    </xf>
    <xf numFmtId="0" fontId="63" fillId="10" borderId="44" xfId="0" applyFont="1" applyFill="1" applyBorder="1" applyAlignment="1" applyProtection="1">
      <alignment vertical="distributed"/>
    </xf>
    <xf numFmtId="0" fontId="64" fillId="15" borderId="36" xfId="0" applyFont="1" applyFill="1" applyBorder="1" applyAlignment="1" applyProtection="1">
      <alignment horizontal="center"/>
    </xf>
    <xf numFmtId="0" fontId="64" fillId="15" borderId="5" xfId="0" applyFont="1" applyFill="1" applyBorder="1" applyAlignment="1" applyProtection="1">
      <alignment horizontal="center"/>
    </xf>
    <xf numFmtId="0" fontId="12" fillId="0" borderId="27" xfId="0" applyFont="1" applyBorder="1" applyProtection="1"/>
    <xf numFmtId="0" fontId="63" fillId="10" borderId="52" xfId="0" applyFont="1" applyFill="1" applyBorder="1" applyAlignment="1" applyProtection="1">
      <alignment vertical="distributed"/>
    </xf>
    <xf numFmtId="0" fontId="63" fillId="10" borderId="22" xfId="0" applyFont="1" applyFill="1" applyBorder="1" applyAlignment="1" applyProtection="1">
      <alignment vertical="distributed"/>
    </xf>
    <xf numFmtId="183" fontId="12" fillId="0" borderId="22" xfId="0" applyNumberFormat="1" applyFont="1" applyBorder="1" applyAlignment="1" applyProtection="1">
      <alignment horizontal="center"/>
    </xf>
    <xf numFmtId="183" fontId="12" fillId="0" borderId="6" xfId="0" applyNumberFormat="1" applyFont="1" applyBorder="1" applyAlignment="1" applyProtection="1">
      <alignment horizontal="center"/>
    </xf>
    <xf numFmtId="183" fontId="12" fillId="0" borderId="53" xfId="0" applyNumberFormat="1" applyFont="1" applyBorder="1" applyAlignment="1" applyProtection="1">
      <alignment horizontal="center"/>
    </xf>
    <xf numFmtId="183" fontId="12" fillId="0" borderId="54" xfId="0" applyNumberFormat="1" applyFont="1" applyBorder="1" applyAlignment="1" applyProtection="1">
      <alignment horizontal="center"/>
    </xf>
    <xf numFmtId="183" fontId="12" fillId="0" borderId="29" xfId="0" applyNumberFormat="1" applyFont="1" applyBorder="1" applyAlignment="1" applyProtection="1">
      <alignment horizontal="center"/>
    </xf>
    <xf numFmtId="169" fontId="12" fillId="0" borderId="30" xfId="10" applyFont="1" applyFill="1" applyBorder="1" applyProtection="1">
      <protection locked="0"/>
    </xf>
    <xf numFmtId="0" fontId="59" fillId="12" borderId="45" xfId="0" applyNumberFormat="1" applyFont="1" applyFill="1" applyBorder="1" applyAlignment="1" applyProtection="1">
      <alignment horizontal="center"/>
      <protection locked="0"/>
    </xf>
    <xf numFmtId="169" fontId="44" fillId="0" borderId="15" xfId="10" applyFont="1" applyFill="1" applyBorder="1" applyAlignment="1" applyProtection="1">
      <alignment horizontal="right"/>
    </xf>
    <xf numFmtId="2" fontId="51" fillId="0" borderId="0" xfId="0" applyNumberFormat="1" applyFont="1" applyFill="1" applyBorder="1" applyProtection="1"/>
    <xf numFmtId="178" fontId="31" fillId="11" borderId="24" xfId="0" applyNumberFormat="1" applyFont="1" applyFill="1" applyBorder="1" applyProtection="1">
      <protection locked="0"/>
    </xf>
    <xf numFmtId="49" fontId="12" fillId="0" borderId="12" xfId="0" applyNumberFormat="1" applyFont="1" applyBorder="1" applyAlignment="1" applyProtection="1">
      <alignment horizontal="center"/>
    </xf>
    <xf numFmtId="171" fontId="12" fillId="0" borderId="24" xfId="0" applyNumberFormat="1" applyFont="1" applyBorder="1" applyAlignment="1" applyProtection="1">
      <alignment horizontal="centerContinuous"/>
    </xf>
    <xf numFmtId="193" fontId="21" fillId="4" borderId="15" xfId="29" applyNumberFormat="1" applyFont="1" applyFill="1" applyBorder="1"/>
    <xf numFmtId="169" fontId="13" fillId="0" borderId="34" xfId="10" applyNumberFormat="1" applyFont="1" applyFill="1" applyBorder="1" applyAlignment="1" applyProtection="1">
      <alignment horizontal="right"/>
    </xf>
    <xf numFmtId="169" fontId="13" fillId="0" borderId="35" xfId="10" applyNumberFormat="1" applyFont="1" applyFill="1" applyBorder="1" applyAlignment="1" applyProtection="1">
      <alignment horizontal="right"/>
    </xf>
    <xf numFmtId="0" fontId="57" fillId="12" borderId="64" xfId="0" applyFont="1" applyFill="1" applyBorder="1" applyAlignment="1" applyProtection="1">
      <alignment horizontal="center"/>
    </xf>
    <xf numFmtId="169" fontId="51" fillId="12" borderId="45" xfId="10" applyFont="1" applyFill="1" applyBorder="1" applyAlignment="1" applyProtection="1">
      <alignment horizontal="right"/>
    </xf>
    <xf numFmtId="183" fontId="51" fillId="12" borderId="25" xfId="0" applyNumberFormat="1" applyFont="1" applyFill="1" applyBorder="1" applyAlignment="1" applyProtection="1">
      <alignment horizontal="center"/>
    </xf>
    <xf numFmtId="169" fontId="57" fillId="12" borderId="15" xfId="10" applyFont="1" applyFill="1" applyBorder="1" applyAlignment="1" applyProtection="1">
      <alignment horizontal="right"/>
    </xf>
    <xf numFmtId="169" fontId="13" fillId="11" borderId="15" xfId="10" applyNumberFormat="1" applyFont="1" applyFill="1" applyBorder="1" applyAlignment="1" applyProtection="1">
      <alignment horizontal="center"/>
    </xf>
    <xf numFmtId="15" fontId="59" fillId="12" borderId="15" xfId="0" applyNumberFormat="1" applyFont="1" applyFill="1" applyBorder="1" applyAlignment="1" applyProtection="1">
      <alignment horizontal="right"/>
    </xf>
    <xf numFmtId="0" fontId="59" fillId="12" borderId="15" xfId="0" applyFont="1" applyFill="1" applyBorder="1" applyAlignment="1" applyProtection="1">
      <alignment horizontal="center"/>
    </xf>
    <xf numFmtId="15" fontId="59" fillId="12" borderId="15" xfId="0" applyNumberFormat="1" applyFont="1" applyFill="1" applyBorder="1" applyAlignment="1" applyProtection="1">
      <alignment horizontal="center"/>
    </xf>
    <xf numFmtId="15" fontId="31" fillId="6" borderId="15" xfId="0" applyNumberFormat="1" applyFont="1" applyFill="1" applyBorder="1" applyAlignment="1" applyProtection="1">
      <alignment horizontal="center"/>
      <protection locked="0"/>
    </xf>
    <xf numFmtId="179" fontId="13" fillId="11" borderId="15" xfId="10" applyNumberFormat="1" applyFont="1" applyFill="1" applyBorder="1" applyAlignment="1" applyProtection="1">
      <alignment horizontal="center"/>
      <protection locked="0"/>
    </xf>
    <xf numFmtId="0" fontId="27" fillId="11" borderId="15" xfId="0" applyFont="1" applyFill="1" applyBorder="1" applyProtection="1"/>
    <xf numFmtId="0" fontId="12" fillId="0" borderId="12" xfId="0" applyFont="1" applyBorder="1" applyAlignment="1" applyProtection="1">
      <alignment horizontal="center"/>
    </xf>
    <xf numFmtId="179" fontId="13" fillId="0" borderId="12" xfId="10" applyNumberFormat="1" applyFont="1" applyFill="1" applyBorder="1" applyAlignment="1" applyProtection="1">
      <alignment horizontal="right"/>
    </xf>
    <xf numFmtId="0" fontId="12" fillId="0" borderId="0" xfId="0" applyFont="1" applyFill="1" applyBorder="1" applyAlignment="1" applyProtection="1">
      <alignment horizontal="right"/>
    </xf>
    <xf numFmtId="15" fontId="31" fillId="6" borderId="25" xfId="0" applyNumberFormat="1" applyFont="1" applyFill="1" applyBorder="1" applyAlignment="1" applyProtection="1">
      <alignment horizontal="right"/>
      <protection locked="0"/>
    </xf>
    <xf numFmtId="189" fontId="13" fillId="0" borderId="12" xfId="0" applyNumberFormat="1" applyFont="1" applyFill="1" applyBorder="1" applyAlignment="1" applyProtection="1">
      <alignment horizontal="center"/>
    </xf>
    <xf numFmtId="14" fontId="12" fillId="0" borderId="15" xfId="10" applyNumberFormat="1" applyFont="1" applyBorder="1" applyProtection="1"/>
    <xf numFmtId="179" fontId="13" fillId="0" borderId="15" xfId="10" applyNumberFormat="1" applyFont="1" applyFill="1" applyBorder="1" applyAlignment="1" applyProtection="1">
      <alignment horizontal="center"/>
    </xf>
    <xf numFmtId="0" fontId="63" fillId="10" borderId="25" xfId="0" applyFont="1" applyFill="1" applyBorder="1" applyAlignment="1" applyProtection="1">
      <alignment horizontal="center" vertical="distributed"/>
    </xf>
    <xf numFmtId="169" fontId="51" fillId="12" borderId="26" xfId="10" applyFont="1" applyFill="1" applyBorder="1" applyProtection="1"/>
    <xf numFmtId="169" fontId="51" fillId="12" borderId="15" xfId="10" applyFont="1" applyFill="1" applyBorder="1" applyProtection="1">
      <protection locked="0"/>
    </xf>
    <xf numFmtId="169" fontId="51" fillId="12" borderId="15" xfId="10" applyFont="1" applyFill="1" applyBorder="1" applyProtection="1"/>
    <xf numFmtId="0" fontId="13" fillId="16" borderId="15" xfId="0" applyFont="1" applyFill="1" applyBorder="1"/>
    <xf numFmtId="9" fontId="13" fillId="0" borderId="15" xfId="29" applyFont="1" applyFill="1" applyBorder="1" applyAlignment="1" applyProtection="1">
      <alignment horizontal="center"/>
    </xf>
    <xf numFmtId="0" fontId="13" fillId="0" borderId="15" xfId="0" applyFont="1" applyBorder="1" applyAlignment="1" applyProtection="1">
      <alignment horizontal="center"/>
    </xf>
    <xf numFmtId="0" fontId="13" fillId="0" borderId="0" xfId="0" applyFont="1" applyAlignment="1" applyProtection="1">
      <alignment horizontal="center"/>
    </xf>
    <xf numFmtId="169" fontId="32" fillId="0" borderId="0" xfId="10" applyFont="1" applyFill="1" applyBorder="1" applyAlignment="1" applyProtection="1">
      <alignment horizontal="right"/>
    </xf>
    <xf numFmtId="0" fontId="47" fillId="11" borderId="0" xfId="1" applyFont="1" applyFill="1" applyBorder="1"/>
    <xf numFmtId="0" fontId="2" fillId="11" borderId="0" xfId="1" applyFont="1" applyFill="1" applyBorder="1"/>
    <xf numFmtId="190" fontId="2" fillId="11" borderId="0" xfId="1" applyNumberFormat="1" applyFont="1" applyFill="1" applyBorder="1"/>
    <xf numFmtId="191" fontId="2" fillId="11" borderId="0" xfId="1" applyNumberFormat="1" applyFont="1" applyFill="1" applyBorder="1"/>
    <xf numFmtId="43" fontId="2" fillId="11" borderId="0" xfId="1" applyNumberFormat="1" applyFont="1" applyFill="1" applyBorder="1"/>
    <xf numFmtId="0" fontId="22" fillId="11" borderId="0" xfId="1" applyFont="1" applyFill="1" applyBorder="1" applyAlignment="1">
      <alignment horizontal="left"/>
    </xf>
    <xf numFmtId="0" fontId="22" fillId="11" borderId="0" xfId="1" applyFont="1" applyFill="1" applyBorder="1"/>
    <xf numFmtId="169" fontId="2" fillId="11" borderId="0" xfId="10" applyFont="1" applyFill="1" applyBorder="1"/>
    <xf numFmtId="169" fontId="2" fillId="11" borderId="47" xfId="10" applyFont="1" applyFill="1" applyBorder="1"/>
    <xf numFmtId="4" fontId="22" fillId="11" borderId="50" xfId="1" applyNumberFormat="1" applyFont="1" applyFill="1" applyBorder="1"/>
    <xf numFmtId="169" fontId="22" fillId="11" borderId="0" xfId="10" applyFont="1" applyFill="1" applyBorder="1"/>
    <xf numFmtId="0" fontId="47" fillId="11" borderId="0" xfId="1" applyFont="1" applyFill="1"/>
    <xf numFmtId="43" fontId="47" fillId="11" borderId="0" xfId="1" applyNumberFormat="1" applyFont="1" applyFill="1"/>
    <xf numFmtId="0" fontId="2" fillId="11" borderId="0" xfId="1" applyFont="1" applyFill="1"/>
    <xf numFmtId="165" fontId="0" fillId="3" borderId="48" xfId="0" applyNumberFormat="1" applyFill="1" applyBorder="1" applyAlignment="1"/>
    <xf numFmtId="173" fontId="1" fillId="2" borderId="0" xfId="0" applyNumberFormat="1" applyFont="1" applyFill="1" applyBorder="1"/>
    <xf numFmtId="173" fontId="0" fillId="2" borderId="55" xfId="0" applyNumberFormat="1" applyFill="1" applyBorder="1"/>
    <xf numFmtId="165" fontId="0" fillId="2" borderId="5" xfId="0" applyNumberFormat="1" applyFill="1" applyBorder="1"/>
    <xf numFmtId="173" fontId="1" fillId="7" borderId="6" xfId="0" applyNumberFormat="1" applyFont="1" applyFill="1" applyBorder="1"/>
    <xf numFmtId="176" fontId="6" fillId="6" borderId="0" xfId="29" applyNumberFormat="1" applyFont="1" applyFill="1" applyBorder="1"/>
    <xf numFmtId="0" fontId="7" fillId="2" borderId="56" xfId="0" applyFont="1" applyFill="1" applyBorder="1" applyAlignment="1">
      <alignment horizontal="center"/>
    </xf>
    <xf numFmtId="165" fontId="7" fillId="2" borderId="57" xfId="0" applyNumberFormat="1" applyFont="1" applyFill="1" applyBorder="1"/>
    <xf numFmtId="0" fontId="13" fillId="4" borderId="23" xfId="0" applyFont="1" applyFill="1" applyBorder="1"/>
    <xf numFmtId="169" fontId="22" fillId="18" borderId="15" xfId="10" applyFont="1" applyFill="1" applyBorder="1" applyAlignment="1">
      <alignment horizontal="center" vertical="center" wrapText="1"/>
    </xf>
    <xf numFmtId="190" fontId="22" fillId="18" borderId="15" xfId="1" applyNumberFormat="1" applyFont="1" applyFill="1" applyBorder="1" applyAlignment="1">
      <alignment horizontal="center" vertical="center" wrapText="1"/>
    </xf>
    <xf numFmtId="0" fontId="22" fillId="13" borderId="15" xfId="1" applyFont="1" applyFill="1" applyBorder="1" applyAlignment="1">
      <alignment horizontal="center" vertical="center" wrapText="1"/>
    </xf>
    <xf numFmtId="0" fontId="22" fillId="13" borderId="15" xfId="1" applyNumberFormat="1" applyFont="1" applyFill="1" applyBorder="1" applyAlignment="1">
      <alignment horizontal="center" vertical="center" wrapText="1"/>
    </xf>
    <xf numFmtId="0" fontId="22" fillId="13" borderId="15" xfId="0" applyFont="1" applyFill="1" applyBorder="1" applyAlignment="1">
      <alignment horizontal="center" vertical="center" wrapText="1"/>
    </xf>
    <xf numFmtId="169" fontId="22" fillId="0" borderId="15" xfId="10" applyFont="1" applyBorder="1" applyAlignment="1">
      <alignment horizontal="center" vertical="center" wrapText="1"/>
    </xf>
    <xf numFmtId="183" fontId="65" fillId="0" borderId="15" xfId="10" applyNumberFormat="1" applyFont="1" applyBorder="1" applyAlignment="1">
      <alignment horizontal="center" vertical="center" wrapText="1"/>
    </xf>
    <xf numFmtId="169" fontId="7" fillId="0" borderId="15" xfId="10" applyFont="1" applyFill="1" applyBorder="1"/>
    <xf numFmtId="190" fontId="22" fillId="0" borderId="15" xfId="0" applyNumberFormat="1" applyFont="1" applyFill="1" applyBorder="1" applyAlignment="1">
      <alignment horizontal="left"/>
    </xf>
    <xf numFmtId="43" fontId="22" fillId="0" borderId="15" xfId="0" applyNumberFormat="1" applyFont="1" applyBorder="1" applyAlignment="1">
      <alignment horizontal="center"/>
    </xf>
    <xf numFmtId="43" fontId="22" fillId="0" borderId="15" xfId="0" applyNumberFormat="1" applyFont="1" applyFill="1" applyBorder="1"/>
    <xf numFmtId="0" fontId="22" fillId="0" borderId="15" xfId="0" applyNumberFormat="1" applyFont="1" applyBorder="1" applyAlignment="1">
      <alignment horizontal="center"/>
    </xf>
    <xf numFmtId="9" fontId="22" fillId="0" borderId="15" xfId="29" applyFont="1" applyBorder="1" applyAlignment="1">
      <alignment horizontal="center"/>
    </xf>
    <xf numFmtId="169" fontId="22" fillId="0" borderId="15" xfId="10" applyFont="1" applyBorder="1" applyAlignment="1">
      <alignment horizontal="center"/>
    </xf>
    <xf numFmtId="169" fontId="22" fillId="0" borderId="0" xfId="10" applyFont="1" applyBorder="1"/>
    <xf numFmtId="169" fontId="22" fillId="0" borderId="15" xfId="10" applyFont="1" applyBorder="1"/>
    <xf numFmtId="183" fontId="65" fillId="0" borderId="15" xfId="10" applyNumberFormat="1" applyFont="1" applyBorder="1"/>
    <xf numFmtId="0" fontId="22" fillId="0" borderId="0" xfId="0" applyFont="1" applyBorder="1" applyAlignment="1">
      <alignment horizontal="center"/>
    </xf>
    <xf numFmtId="169" fontId="7" fillId="0" borderId="0" xfId="10" applyFont="1" applyBorder="1"/>
    <xf numFmtId="190" fontId="22" fillId="0" borderId="0" xfId="0" applyNumberFormat="1" applyFont="1" applyBorder="1" applyAlignment="1">
      <alignment horizontal="left"/>
    </xf>
    <xf numFmtId="0" fontId="22" fillId="0" borderId="0" xfId="0" applyFont="1" applyBorder="1"/>
    <xf numFmtId="14" fontId="22" fillId="0" borderId="0" xfId="0" applyNumberFormat="1" applyFont="1" applyBorder="1" applyAlignment="1">
      <alignment horizontal="center"/>
    </xf>
    <xf numFmtId="0" fontId="22" fillId="0" borderId="0" xfId="0" applyFont="1" applyFill="1" applyBorder="1" applyAlignment="1">
      <alignment horizontal="center"/>
    </xf>
    <xf numFmtId="183" fontId="65" fillId="19" borderId="0" xfId="10" applyNumberFormat="1" applyFont="1" applyFill="1" applyBorder="1"/>
    <xf numFmtId="169" fontId="7" fillId="0" borderId="15" xfId="10" applyFont="1" applyFill="1" applyBorder="1" applyAlignment="1">
      <alignment horizontal="center"/>
    </xf>
    <xf numFmtId="0" fontId="3" fillId="11" borderId="0" xfId="27" applyFill="1"/>
    <xf numFmtId="174" fontId="2" fillId="3" borderId="6" xfId="5" applyNumberFormat="1" applyFont="1" applyFill="1" applyBorder="1"/>
    <xf numFmtId="0" fontId="47" fillId="11" borderId="65" xfId="1" applyFont="1" applyFill="1" applyBorder="1"/>
    <xf numFmtId="0" fontId="47" fillId="11" borderId="66" xfId="1" applyFont="1" applyFill="1" applyBorder="1"/>
    <xf numFmtId="0" fontId="2" fillId="11" borderId="66" xfId="1" applyFont="1" applyFill="1" applyBorder="1"/>
    <xf numFmtId="0" fontId="47" fillId="11" borderId="67" xfId="1" applyFont="1" applyFill="1" applyBorder="1"/>
    <xf numFmtId="0" fontId="47" fillId="11" borderId="68" xfId="1" applyFont="1" applyFill="1" applyBorder="1"/>
    <xf numFmtId="0" fontId="47" fillId="11" borderId="69" xfId="1" applyFont="1" applyFill="1" applyBorder="1"/>
    <xf numFmtId="43" fontId="47" fillId="11" borderId="69" xfId="1" applyNumberFormat="1" applyFont="1" applyFill="1" applyBorder="1"/>
    <xf numFmtId="0" fontId="47" fillId="11" borderId="70" xfId="1" applyFont="1" applyFill="1" applyBorder="1"/>
    <xf numFmtId="0" fontId="47" fillId="11" borderId="71" xfId="1" applyFont="1" applyFill="1" applyBorder="1"/>
    <xf numFmtId="0" fontId="2" fillId="11" borderId="71" xfId="1" applyFont="1" applyFill="1" applyBorder="1"/>
    <xf numFmtId="43" fontId="47" fillId="11" borderId="72" xfId="1" applyNumberFormat="1" applyFont="1" applyFill="1" applyBorder="1"/>
    <xf numFmtId="0" fontId="47" fillId="20" borderId="68" xfId="1" applyFont="1" applyFill="1" applyBorder="1"/>
    <xf numFmtId="0" fontId="45" fillId="20" borderId="0" xfId="1" applyFont="1" applyFill="1" applyBorder="1" applyAlignment="1">
      <alignment horizontal="left"/>
    </xf>
    <xf numFmtId="0" fontId="46" fillId="20" borderId="0" xfId="1" applyFont="1" applyFill="1" applyBorder="1"/>
    <xf numFmtId="0" fontId="46" fillId="20" borderId="69" xfId="1" applyFont="1" applyFill="1" applyBorder="1"/>
    <xf numFmtId="0" fontId="2" fillId="11" borderId="0" xfId="1" applyFont="1" applyFill="1" applyBorder="1" applyAlignment="1">
      <alignment horizontal="center"/>
    </xf>
    <xf numFmtId="0" fontId="2" fillId="11" borderId="0" xfId="1" applyFont="1" applyFill="1" applyBorder="1" applyAlignment="1">
      <alignment horizontal="left"/>
    </xf>
    <xf numFmtId="0" fontId="2" fillId="11" borderId="0" xfId="1" applyFont="1" applyFill="1" applyProtection="1">
      <protection locked="0"/>
    </xf>
    <xf numFmtId="0" fontId="22" fillId="11" borderId="0" xfId="1" applyFont="1" applyFill="1" applyProtection="1">
      <protection locked="0"/>
    </xf>
    <xf numFmtId="0" fontId="22" fillId="11" borderId="26" xfId="0" applyFont="1" applyFill="1" applyBorder="1" applyAlignment="1" applyProtection="1">
      <alignment horizontal="center"/>
      <protection locked="0"/>
    </xf>
    <xf numFmtId="9" fontId="22" fillId="11" borderId="26" xfId="29" applyFont="1" applyFill="1" applyBorder="1" applyAlignment="1" applyProtection="1">
      <alignment horizontal="center"/>
      <protection locked="0"/>
    </xf>
    <xf numFmtId="0" fontId="22" fillId="11" borderId="15" xfId="0" applyFont="1" applyFill="1" applyBorder="1" applyAlignment="1" applyProtection="1">
      <alignment horizontal="center"/>
      <protection locked="0"/>
    </xf>
    <xf numFmtId="0" fontId="3" fillId="11" borderId="0" xfId="27" applyFill="1" applyProtection="1"/>
    <xf numFmtId="0" fontId="2" fillId="11" borderId="0" xfId="1" applyFont="1" applyFill="1" applyProtection="1"/>
    <xf numFmtId="0" fontId="22" fillId="11" borderId="0" xfId="1" applyFont="1" applyFill="1" applyProtection="1"/>
    <xf numFmtId="0" fontId="3" fillId="0" borderId="0" xfId="27" applyProtection="1"/>
    <xf numFmtId="44" fontId="66" fillId="20" borderId="30" xfId="1" applyNumberFormat="1" applyFont="1" applyFill="1" applyBorder="1" applyAlignment="1" applyProtection="1">
      <alignment horizontal="center" vertical="distributed"/>
    </xf>
    <xf numFmtId="0" fontId="66" fillId="20" borderId="28" xfId="1" applyFont="1" applyFill="1" applyBorder="1" applyProtection="1"/>
    <xf numFmtId="44" fontId="66" fillId="20" borderId="29" xfId="1" applyNumberFormat="1" applyFont="1" applyFill="1" applyBorder="1" applyAlignment="1" applyProtection="1">
      <alignment horizontal="center" vertical="distributed"/>
    </xf>
    <xf numFmtId="0" fontId="22" fillId="11" borderId="26" xfId="0" applyFont="1" applyFill="1" applyBorder="1" applyAlignment="1" applyProtection="1">
      <alignment horizontal="center"/>
    </xf>
    <xf numFmtId="44" fontId="66" fillId="20" borderId="28" xfId="1" applyNumberFormat="1" applyFont="1" applyFill="1" applyBorder="1" applyAlignment="1" applyProtection="1">
      <alignment horizontal="center" vertical="distributed"/>
    </xf>
    <xf numFmtId="0" fontId="22" fillId="11" borderId="24" xfId="0" applyFont="1" applyFill="1" applyBorder="1" applyProtection="1"/>
    <xf numFmtId="0" fontId="22" fillId="11" borderId="15" xfId="0" applyFont="1" applyFill="1" applyBorder="1" applyProtection="1"/>
    <xf numFmtId="0" fontId="22" fillId="11" borderId="15" xfId="0" applyFont="1" applyFill="1" applyBorder="1" applyAlignment="1" applyProtection="1">
      <alignment horizontal="center"/>
    </xf>
    <xf numFmtId="0" fontId="22" fillId="11" borderId="15" xfId="0" applyFont="1" applyFill="1" applyBorder="1" applyAlignment="1" applyProtection="1">
      <alignment horizontal="right"/>
    </xf>
    <xf numFmtId="0" fontId="22" fillId="11" borderId="0" xfId="1" applyFont="1" applyFill="1" applyAlignment="1" applyProtection="1">
      <alignment horizontal="center"/>
    </xf>
    <xf numFmtId="0" fontId="3" fillId="0" borderId="0" xfId="27" applyFill="1" applyProtection="1"/>
    <xf numFmtId="191" fontId="22" fillId="11" borderId="0" xfId="1" applyNumberFormat="1" applyFont="1" applyFill="1" applyBorder="1" applyAlignment="1">
      <alignment horizontal="center"/>
    </xf>
    <xf numFmtId="43" fontId="22" fillId="11" borderId="0" xfId="1" applyNumberFormat="1" applyFont="1" applyFill="1" applyBorder="1" applyAlignment="1">
      <alignment horizontal="center"/>
    </xf>
    <xf numFmtId="179" fontId="22" fillId="11" borderId="30" xfId="10" applyNumberFormat="1" applyFont="1" applyFill="1" applyBorder="1" applyProtection="1">
      <protection locked="0"/>
    </xf>
    <xf numFmtId="169" fontId="22" fillId="11" borderId="30" xfId="10" applyFont="1" applyFill="1" applyBorder="1" applyAlignment="1" applyProtection="1">
      <alignment horizontal="center"/>
      <protection locked="0"/>
    </xf>
    <xf numFmtId="0" fontId="1" fillId="11" borderId="0" xfId="1" applyFont="1" applyFill="1" applyBorder="1"/>
    <xf numFmtId="0" fontId="45" fillId="11" borderId="0" xfId="1" applyFont="1" applyFill="1" applyBorder="1" applyAlignment="1">
      <alignment horizontal="center"/>
    </xf>
    <xf numFmtId="190" fontId="22" fillId="11" borderId="0" xfId="1" applyNumberFormat="1" applyFont="1" applyFill="1" applyBorder="1" applyProtection="1">
      <protection locked="0"/>
    </xf>
    <xf numFmtId="43" fontId="22" fillId="11" borderId="0" xfId="1" applyNumberFormat="1" applyFont="1" applyFill="1" applyBorder="1" applyAlignment="1" applyProtection="1">
      <alignment horizontal="center"/>
      <protection locked="0"/>
    </xf>
    <xf numFmtId="169" fontId="22" fillId="11" borderId="0" xfId="10" applyFont="1" applyFill="1" applyBorder="1" applyAlignment="1" applyProtection="1">
      <alignment horizontal="center"/>
      <protection locked="0"/>
    </xf>
    <xf numFmtId="4" fontId="22" fillId="11" borderId="0" xfId="1" applyNumberFormat="1" applyFont="1" applyFill="1" applyBorder="1"/>
    <xf numFmtId="0" fontId="0" fillId="11" borderId="0" xfId="1" applyFont="1" applyFill="1"/>
    <xf numFmtId="43" fontId="47" fillId="11" borderId="0" xfId="1" applyNumberFormat="1" applyFont="1" applyFill="1" applyBorder="1"/>
    <xf numFmtId="8" fontId="22" fillId="11" borderId="30" xfId="1" applyNumberFormat="1" applyFont="1" applyFill="1" applyBorder="1" applyAlignment="1" applyProtection="1">
      <alignment horizontal="center"/>
      <protection locked="0"/>
    </xf>
    <xf numFmtId="8" fontId="2" fillId="21" borderId="0" xfId="10" applyNumberFormat="1" applyFont="1" applyFill="1" applyBorder="1" applyAlignment="1">
      <alignment horizontal="center"/>
    </xf>
    <xf numFmtId="190" fontId="22" fillId="11" borderId="30" xfId="1" applyNumberFormat="1" applyFont="1" applyFill="1" applyBorder="1" applyAlignment="1" applyProtection="1">
      <alignment horizontal="center"/>
      <protection locked="0"/>
    </xf>
    <xf numFmtId="14" fontId="0" fillId="0" borderId="0" xfId="1" applyNumberFormat="1" applyFont="1" applyFill="1"/>
    <xf numFmtId="0" fontId="45" fillId="11" borderId="68" xfId="1" applyFont="1" applyFill="1" applyBorder="1" applyAlignment="1">
      <alignment horizontal="center"/>
    </xf>
    <xf numFmtId="0" fontId="45" fillId="11" borderId="0" xfId="1" applyFont="1" applyFill="1" applyBorder="1" applyAlignment="1">
      <alignment horizontal="center"/>
    </xf>
    <xf numFmtId="0" fontId="45" fillId="11" borderId="69" xfId="1" applyFont="1" applyFill="1" applyBorder="1" applyAlignment="1">
      <alignment horizontal="center"/>
    </xf>
    <xf numFmtId="0" fontId="1" fillId="11" borderId="0" xfId="1" applyFont="1" applyFill="1" applyBorder="1" applyAlignment="1">
      <alignment horizontal="center"/>
    </xf>
    <xf numFmtId="2" fontId="69" fillId="11" borderId="0" xfId="1" applyNumberFormat="1" applyFont="1" applyFill="1" applyBorder="1" applyAlignment="1">
      <alignment horizontal="left" vertical="distributed"/>
    </xf>
    <xf numFmtId="0" fontId="43" fillId="14" borderId="44" xfId="0" applyNumberFormat="1" applyFont="1" applyFill="1" applyBorder="1" applyAlignment="1" applyProtection="1">
      <alignment horizontal="center"/>
    </xf>
    <xf numFmtId="0" fontId="43" fillId="14" borderId="31" xfId="0" applyNumberFormat="1" applyFont="1" applyFill="1" applyBorder="1" applyAlignment="1" applyProtection="1">
      <alignment horizontal="center"/>
    </xf>
    <xf numFmtId="169" fontId="22" fillId="8" borderId="59" xfId="10" applyFont="1" applyFill="1" applyBorder="1" applyAlignment="1" applyProtection="1">
      <alignment horizontal="center" vertical="center" wrapText="1"/>
    </xf>
    <xf numFmtId="169" fontId="22" fillId="8" borderId="60" xfId="10" applyFont="1" applyFill="1" applyBorder="1" applyAlignment="1" applyProtection="1">
      <alignment horizontal="center" vertical="center" wrapText="1"/>
    </xf>
    <xf numFmtId="180" fontId="27" fillId="8" borderId="59" xfId="10" applyNumberFormat="1" applyFont="1" applyFill="1" applyBorder="1" applyAlignment="1" applyProtection="1">
      <alignment horizontal="center" vertical="center" wrapText="1"/>
    </xf>
    <xf numFmtId="180" fontId="27" fillId="8" borderId="60" xfId="10" applyNumberFormat="1" applyFont="1" applyFill="1" applyBorder="1" applyAlignment="1" applyProtection="1">
      <alignment horizontal="center" vertical="center" wrapText="1"/>
    </xf>
    <xf numFmtId="0" fontId="31" fillId="14" borderId="44" xfId="0" applyNumberFormat="1" applyFont="1" applyFill="1" applyBorder="1" applyAlignment="1" applyProtection="1">
      <alignment horizontal="center"/>
    </xf>
    <xf numFmtId="0" fontId="31" fillId="14" borderId="52" xfId="0" applyNumberFormat="1" applyFont="1" applyFill="1" applyBorder="1" applyAlignment="1" applyProtection="1">
      <alignment horizontal="center"/>
    </xf>
    <xf numFmtId="0" fontId="31" fillId="14" borderId="31" xfId="0" applyNumberFormat="1" applyFont="1" applyFill="1" applyBorder="1" applyAlignment="1" applyProtection="1">
      <alignment horizontal="center"/>
    </xf>
    <xf numFmtId="0" fontId="31" fillId="14" borderId="42" xfId="0" applyNumberFormat="1" applyFont="1" applyFill="1" applyBorder="1" applyAlignment="1" applyProtection="1">
      <alignment horizontal="center"/>
    </xf>
    <xf numFmtId="170" fontId="31" fillId="14" borderId="12" xfId="0" applyNumberFormat="1" applyFont="1" applyFill="1" applyBorder="1" applyAlignment="1" applyProtection="1">
      <alignment horizontal="center"/>
    </xf>
    <xf numFmtId="170" fontId="31" fillId="14" borderId="24" xfId="0" applyNumberFormat="1" applyFont="1" applyFill="1" applyBorder="1" applyAlignment="1" applyProtection="1">
      <alignment horizontal="center"/>
    </xf>
    <xf numFmtId="0" fontId="42" fillId="10" borderId="12" xfId="0" applyFont="1" applyFill="1" applyBorder="1" applyAlignment="1" applyProtection="1">
      <alignment horizontal="left"/>
    </xf>
    <xf numFmtId="0" fontId="42" fillId="10" borderId="23" xfId="0" applyFont="1" applyFill="1" applyBorder="1" applyAlignment="1" applyProtection="1">
      <alignment horizontal="left"/>
    </xf>
    <xf numFmtId="0" fontId="42" fillId="10" borderId="24" xfId="0" applyFont="1" applyFill="1" applyBorder="1" applyAlignment="1" applyProtection="1">
      <alignment horizontal="left"/>
    </xf>
    <xf numFmtId="0" fontId="42" fillId="10" borderId="12" xfId="0" applyFont="1" applyFill="1" applyBorder="1" applyAlignment="1" applyProtection="1">
      <alignment horizontal="center"/>
    </xf>
    <xf numFmtId="0" fontId="42" fillId="10" borderId="23" xfId="0" applyFont="1" applyFill="1" applyBorder="1" applyAlignment="1" applyProtection="1">
      <alignment horizontal="center"/>
    </xf>
    <xf numFmtId="179" fontId="31" fillId="6" borderId="12" xfId="10" applyNumberFormat="1" applyFont="1" applyFill="1" applyBorder="1" applyAlignment="1" applyProtection="1">
      <alignment horizontal="left"/>
      <protection locked="0"/>
    </xf>
    <xf numFmtId="179" fontId="31" fillId="6" borderId="23" xfId="10" applyNumberFormat="1" applyFont="1" applyFill="1" applyBorder="1" applyAlignment="1" applyProtection="1">
      <alignment horizontal="left"/>
      <protection locked="0"/>
    </xf>
    <xf numFmtId="0" fontId="12" fillId="0" borderId="61" xfId="0" applyFont="1" applyFill="1" applyBorder="1" applyAlignment="1" applyProtection="1">
      <alignment horizontal="center"/>
    </xf>
    <xf numFmtId="0" fontId="12" fillId="0" borderId="51" xfId="0" applyFont="1" applyFill="1" applyBorder="1" applyAlignment="1" applyProtection="1">
      <alignment horizontal="center"/>
    </xf>
    <xf numFmtId="0" fontId="12" fillId="0" borderId="20" xfId="0" applyFont="1" applyFill="1" applyBorder="1" applyAlignment="1" applyProtection="1">
      <alignment horizontal="center"/>
    </xf>
    <xf numFmtId="0" fontId="12" fillId="0" borderId="21" xfId="0" applyFont="1" applyFill="1" applyBorder="1" applyAlignment="1" applyProtection="1">
      <alignment horizontal="center"/>
    </xf>
    <xf numFmtId="0" fontId="18" fillId="17" borderId="0" xfId="0" applyFont="1" applyFill="1" applyBorder="1" applyAlignment="1">
      <alignment horizontal="center"/>
    </xf>
    <xf numFmtId="165" fontId="29" fillId="2" borderId="0" xfId="9" applyFont="1" applyFill="1" applyBorder="1" applyAlignment="1">
      <alignment horizontal="center"/>
    </xf>
    <xf numFmtId="0" fontId="7" fillId="3" borderId="36" xfId="0" applyFont="1" applyFill="1" applyBorder="1" applyAlignment="1">
      <alignment horizontal="center" vertical="distributed"/>
    </xf>
    <xf numFmtId="0" fontId="7" fillId="3" borderId="58" xfId="0" applyFont="1" applyFill="1" applyBorder="1" applyAlignment="1">
      <alignment horizontal="center" vertical="distributed"/>
    </xf>
    <xf numFmtId="165" fontId="3" fillId="0" borderId="11" xfId="7" applyNumberFormat="1" applyFont="1" applyFill="1" applyBorder="1" applyAlignment="1">
      <alignment horizontal="center"/>
    </xf>
    <xf numFmtId="165" fontId="3" fillId="0" borderId="17" xfId="7" applyNumberFormat="1" applyFont="1" applyFill="1" applyBorder="1" applyAlignment="1">
      <alignment horizontal="center"/>
    </xf>
    <xf numFmtId="0" fontId="8" fillId="2" borderId="10" xfId="0" applyFont="1" applyFill="1" applyBorder="1" applyAlignment="1">
      <alignment horizontal="center" vertical="distributed"/>
    </xf>
    <xf numFmtId="0" fontId="8" fillId="2" borderId="16" xfId="0" applyFont="1" applyFill="1" applyBorder="1" applyAlignment="1">
      <alignment horizontal="center" vertical="distributed"/>
    </xf>
  </cellXfs>
  <cellStyles count="31">
    <cellStyle name="=C:\WINNT\SYSTEM32\COMMAND.COM" xfId="1" xr:uid="{00000000-0005-0000-0000-000000000000}"/>
    <cellStyle name="Comma 2" xfId="2" xr:uid="{00000000-0005-0000-0000-000001000000}"/>
    <cellStyle name="Comma 2 2" xfId="3" xr:uid="{00000000-0005-0000-0000-000002000000}"/>
    <cellStyle name="Comma_(1er Trim 2001) I.S.P.T." xfId="4" xr:uid="{00000000-0005-0000-0000-000003000000}"/>
    <cellStyle name="Comma_(3er.Trim.2000-corr)I.S.P.T." xfId="5" xr:uid="{00000000-0005-0000-0000-000004000000}"/>
    <cellStyle name="Comma_FINIQUIT" xfId="6" xr:uid="{00000000-0005-0000-0000-000005000000}"/>
    <cellStyle name="Comma_Ispt99a" xfId="7" xr:uid="{00000000-0005-0000-0000-000006000000}"/>
    <cellStyle name="Currency_(1er Trim 2001) I.S.P.T." xfId="8" xr:uid="{00000000-0005-0000-0000-000007000000}"/>
    <cellStyle name="Currency_Ispt99a" xfId="9" xr:uid="{00000000-0005-0000-0000-000008000000}"/>
    <cellStyle name="Millares" xfId="10" builtinId="3"/>
    <cellStyle name="Moneda" xfId="11" builtinId="4"/>
    <cellStyle name="Normal" xfId="0" builtinId="0"/>
    <cellStyle name="Normal 10" xfId="12" xr:uid="{00000000-0005-0000-0000-00000C000000}"/>
    <cellStyle name="Normal 11" xfId="13" xr:uid="{00000000-0005-0000-0000-00000D000000}"/>
    <cellStyle name="Normal 12" xfId="14" xr:uid="{00000000-0005-0000-0000-00000E000000}"/>
    <cellStyle name="Normal 13" xfId="15" xr:uid="{00000000-0005-0000-0000-00000F000000}"/>
    <cellStyle name="Normal 14" xfId="16" xr:uid="{00000000-0005-0000-0000-000010000000}"/>
    <cellStyle name="Normal 2" xfId="17" xr:uid="{00000000-0005-0000-0000-000011000000}"/>
    <cellStyle name="Normal 2 2" xfId="18" xr:uid="{00000000-0005-0000-0000-000012000000}"/>
    <cellStyle name="Normal 3" xfId="19" xr:uid="{00000000-0005-0000-0000-000013000000}"/>
    <cellStyle name="Normal 4" xfId="20" xr:uid="{00000000-0005-0000-0000-000014000000}"/>
    <cellStyle name="Normal 5" xfId="21" xr:uid="{00000000-0005-0000-0000-000015000000}"/>
    <cellStyle name="Normal 6" xfId="22" xr:uid="{00000000-0005-0000-0000-000016000000}"/>
    <cellStyle name="Normal 6 2" xfId="23" xr:uid="{00000000-0005-0000-0000-000017000000}"/>
    <cellStyle name="Normal 7" xfId="24" xr:uid="{00000000-0005-0000-0000-000018000000}"/>
    <cellStyle name="Normal 8" xfId="25" xr:uid="{00000000-0005-0000-0000-000019000000}"/>
    <cellStyle name="Normal 9" xfId="26" xr:uid="{00000000-0005-0000-0000-00001A000000}"/>
    <cellStyle name="Normal_SHEET" xfId="27" xr:uid="{00000000-0005-0000-0000-00001B000000}"/>
    <cellStyle name="Percent 2" xfId="28" xr:uid="{00000000-0005-0000-0000-00001C000000}"/>
    <cellStyle name="Porcentaje" xfId="29" builtinId="5"/>
    <cellStyle name="Style 1" xfId="30" xr:uid="{00000000-0005-0000-0000-00001E000000}"/>
  </cellStyles>
  <dxfs count="4">
    <dxf>
      <fill>
        <patternFill>
          <bgColor indexed="42"/>
        </patternFill>
      </fill>
    </dxf>
    <dxf>
      <fill>
        <patternFill>
          <bgColor indexed="42"/>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57E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33618</xdr:colOff>
      <xdr:row>1</xdr:row>
      <xdr:rowOff>89646</xdr:rowOff>
    </xdr:from>
    <xdr:to>
      <xdr:col>7</xdr:col>
      <xdr:colOff>1008530</xdr:colOff>
      <xdr:row>4</xdr:row>
      <xdr:rowOff>176940</xdr:rowOff>
    </xdr:to>
    <xdr:pic>
      <xdr:nvPicPr>
        <xdr:cNvPr id="3" name="Imagen 2">
          <a:extLst>
            <a:ext uri="{FF2B5EF4-FFF2-40B4-BE49-F238E27FC236}">
              <a16:creationId xmlns:a16="http://schemas.microsoft.com/office/drawing/2014/main" id="{44863F02-4730-494F-864D-95F388871D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0647" y="257734"/>
          <a:ext cx="974912" cy="569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68</xdr:row>
      <xdr:rowOff>0</xdr:rowOff>
    </xdr:from>
    <xdr:to>
      <xdr:col>5</xdr:col>
      <xdr:colOff>0</xdr:colOff>
      <xdr:row>69</xdr:row>
      <xdr:rowOff>0</xdr:rowOff>
    </xdr:to>
    <xdr:sp macro="" textlink="">
      <xdr:nvSpPr>
        <xdr:cNvPr id="48245" name="Rectangle 6">
          <a:extLst>
            <a:ext uri="{FF2B5EF4-FFF2-40B4-BE49-F238E27FC236}">
              <a16:creationId xmlns:a16="http://schemas.microsoft.com/office/drawing/2014/main" id="{7CC669A8-1F6E-4E2F-A61A-EC414FD0989E}"/>
            </a:ext>
          </a:extLst>
        </xdr:cNvPr>
        <xdr:cNvSpPr>
          <a:spLocks noChangeArrowheads="1"/>
        </xdr:cNvSpPr>
      </xdr:nvSpPr>
      <xdr:spPr bwMode="auto">
        <a:xfrm>
          <a:off x="190500" y="11172825"/>
          <a:ext cx="3371850" cy="161925"/>
        </a:xfrm>
        <a:prstGeom prst="rect">
          <a:avLst/>
        </a:prstGeom>
        <a:noFill/>
        <a:ln w="9525">
          <a:solidFill>
            <a:srgbClr val="000000"/>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41</xdr:row>
      <xdr:rowOff>0</xdr:rowOff>
    </xdr:from>
    <xdr:to>
      <xdr:col>5</xdr:col>
      <xdr:colOff>0</xdr:colOff>
      <xdr:row>42</xdr:row>
      <xdr:rowOff>0</xdr:rowOff>
    </xdr:to>
    <xdr:sp macro="" textlink="">
      <xdr:nvSpPr>
        <xdr:cNvPr id="48246" name="Rectangle 7">
          <a:extLst>
            <a:ext uri="{FF2B5EF4-FFF2-40B4-BE49-F238E27FC236}">
              <a16:creationId xmlns:a16="http://schemas.microsoft.com/office/drawing/2014/main" id="{933D2344-505E-49F8-8638-A597D2BA757F}"/>
            </a:ext>
          </a:extLst>
        </xdr:cNvPr>
        <xdr:cNvSpPr>
          <a:spLocks noChangeArrowheads="1"/>
        </xdr:cNvSpPr>
      </xdr:nvSpPr>
      <xdr:spPr bwMode="auto">
        <a:xfrm>
          <a:off x="190500" y="6715125"/>
          <a:ext cx="3371850" cy="171450"/>
        </a:xfrm>
        <a:prstGeom prst="rect">
          <a:avLst/>
        </a:prstGeom>
        <a:noFill/>
        <a:ln w="9525">
          <a:solidFill>
            <a:srgbClr val="000000"/>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62</xdr:row>
      <xdr:rowOff>0</xdr:rowOff>
    </xdr:from>
    <xdr:to>
      <xdr:col>5</xdr:col>
      <xdr:colOff>0</xdr:colOff>
      <xdr:row>63</xdr:row>
      <xdr:rowOff>0</xdr:rowOff>
    </xdr:to>
    <xdr:sp macro="" textlink="">
      <xdr:nvSpPr>
        <xdr:cNvPr id="48247" name="Rectangle 8">
          <a:extLst>
            <a:ext uri="{FF2B5EF4-FFF2-40B4-BE49-F238E27FC236}">
              <a16:creationId xmlns:a16="http://schemas.microsoft.com/office/drawing/2014/main" id="{BCF72E6C-CA3F-4A57-BFD2-13013EDF9284}"/>
            </a:ext>
          </a:extLst>
        </xdr:cNvPr>
        <xdr:cNvSpPr>
          <a:spLocks noChangeArrowheads="1"/>
        </xdr:cNvSpPr>
      </xdr:nvSpPr>
      <xdr:spPr bwMode="auto">
        <a:xfrm>
          <a:off x="190500" y="10201275"/>
          <a:ext cx="3371850" cy="161925"/>
        </a:xfrm>
        <a:prstGeom prst="rect">
          <a:avLst/>
        </a:prstGeom>
        <a:noFill/>
        <a:ln w="9525">
          <a:solidFill>
            <a:srgbClr val="000000"/>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62</xdr:row>
      <xdr:rowOff>0</xdr:rowOff>
    </xdr:from>
    <xdr:to>
      <xdr:col>5</xdr:col>
      <xdr:colOff>0</xdr:colOff>
      <xdr:row>63</xdr:row>
      <xdr:rowOff>0</xdr:rowOff>
    </xdr:to>
    <xdr:sp macro="" textlink="">
      <xdr:nvSpPr>
        <xdr:cNvPr id="48248" name="Rectangle 9">
          <a:extLst>
            <a:ext uri="{FF2B5EF4-FFF2-40B4-BE49-F238E27FC236}">
              <a16:creationId xmlns:a16="http://schemas.microsoft.com/office/drawing/2014/main" id="{379C4836-7C4D-4901-BE59-9828F53207D0}"/>
            </a:ext>
          </a:extLst>
        </xdr:cNvPr>
        <xdr:cNvSpPr>
          <a:spLocks noChangeArrowheads="1"/>
        </xdr:cNvSpPr>
      </xdr:nvSpPr>
      <xdr:spPr bwMode="auto">
        <a:xfrm>
          <a:off x="190500" y="10201275"/>
          <a:ext cx="3371850" cy="161925"/>
        </a:xfrm>
        <a:prstGeom prst="rect">
          <a:avLst/>
        </a:prstGeom>
        <a:noFill/>
        <a:ln w="9525">
          <a:solidFill>
            <a:srgbClr val="000000"/>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vendano\Local%20Settings\Temporary%20Internet%20Files\OLK7\Anticipo%20de%20Aguinaldo%20Roche%202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ANGEL\ROCHE\NOMINAS\BEZARES\2005\MENSUAL_DICIEMBRE\DIRECTORES\Base_NOV_DIRE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GRUPO%20ROCHE\AGUINALDOS\ROCHE\SEMANALES\CALCULO%20ANUAL\C&#225;lculo%20Anual%20SEMANAL%20CUERNAVA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sheetName val="TOLUCA"/>
      <sheetName val="BEZARES"/>
      <sheetName val="DATOS"/>
      <sheetName val="M4"/>
      <sheetName val="Vales"/>
    </sheetNames>
    <sheetDataSet>
      <sheetData sheetId="0" refreshError="1">
        <row r="3">
          <cell r="M3">
            <v>0</v>
          </cell>
          <cell r="N3">
            <v>0</v>
          </cell>
          <cell r="O3">
            <v>40</v>
          </cell>
        </row>
        <row r="4">
          <cell r="M4">
            <v>1</v>
          </cell>
          <cell r="N4">
            <v>1</v>
          </cell>
          <cell r="O4">
            <v>40</v>
          </cell>
        </row>
        <row r="5">
          <cell r="M5">
            <v>2</v>
          </cell>
          <cell r="N5">
            <v>2</v>
          </cell>
          <cell r="O5">
            <v>40</v>
          </cell>
        </row>
        <row r="6">
          <cell r="M6">
            <v>3</v>
          </cell>
          <cell r="N6">
            <v>4</v>
          </cell>
          <cell r="O6">
            <v>40</v>
          </cell>
        </row>
        <row r="7">
          <cell r="M7">
            <v>5</v>
          </cell>
          <cell r="N7">
            <v>99</v>
          </cell>
          <cell r="O7">
            <v>40</v>
          </cell>
        </row>
        <row r="11">
          <cell r="G11">
            <v>0.01</v>
          </cell>
          <cell r="H11">
            <v>496.07</v>
          </cell>
          <cell r="I11">
            <v>0</v>
          </cell>
          <cell r="J11">
            <v>0.03</v>
          </cell>
        </row>
        <row r="12">
          <cell r="G12">
            <v>496.08</v>
          </cell>
          <cell r="H12">
            <v>4210.41</v>
          </cell>
          <cell r="I12">
            <v>14.88</v>
          </cell>
          <cell r="J12">
            <v>0.1</v>
          </cell>
        </row>
        <row r="13">
          <cell r="G13">
            <v>4210.42</v>
          </cell>
          <cell r="H13">
            <v>7399.42</v>
          </cell>
          <cell r="I13">
            <v>386.31</v>
          </cell>
          <cell r="J13">
            <v>0.17</v>
          </cell>
        </row>
        <row r="14">
          <cell r="G14">
            <v>7399.43</v>
          </cell>
          <cell r="H14">
            <v>8601.5</v>
          </cell>
          <cell r="I14">
            <v>928.46</v>
          </cell>
          <cell r="J14">
            <v>0.25</v>
          </cell>
        </row>
        <row r="15">
          <cell r="G15">
            <v>8601.51</v>
          </cell>
          <cell r="H15">
            <v>99999999.989999995</v>
          </cell>
          <cell r="I15">
            <v>1228.98</v>
          </cell>
          <cell r="J15">
            <v>0.28999999999999998</v>
          </cell>
        </row>
        <row r="21">
          <cell r="G21">
            <v>0.01</v>
          </cell>
          <cell r="H21">
            <v>496.07</v>
          </cell>
          <cell r="I21">
            <v>0</v>
          </cell>
          <cell r="J21">
            <v>0.5</v>
          </cell>
        </row>
        <row r="22">
          <cell r="G22">
            <v>496.08</v>
          </cell>
          <cell r="H22">
            <v>4210.41</v>
          </cell>
          <cell r="I22">
            <v>7.44</v>
          </cell>
          <cell r="J22">
            <v>0.5</v>
          </cell>
        </row>
        <row r="23">
          <cell r="G23">
            <v>4210.42</v>
          </cell>
          <cell r="H23">
            <v>7399.42</v>
          </cell>
          <cell r="I23">
            <v>193.17</v>
          </cell>
          <cell r="J23">
            <v>0.5</v>
          </cell>
        </row>
        <row r="24">
          <cell r="G24">
            <v>7399.43</v>
          </cell>
          <cell r="H24">
            <v>8601.5</v>
          </cell>
          <cell r="I24">
            <v>464.19</v>
          </cell>
          <cell r="J24">
            <v>0.5</v>
          </cell>
        </row>
        <row r="25">
          <cell r="G25">
            <v>8601.51</v>
          </cell>
          <cell r="H25">
            <v>10298.35</v>
          </cell>
          <cell r="I25">
            <v>614.49</v>
          </cell>
          <cell r="J25">
            <v>0.5</v>
          </cell>
        </row>
        <row r="26">
          <cell r="G26">
            <v>10298.36</v>
          </cell>
          <cell r="H26">
            <v>20770.29</v>
          </cell>
          <cell r="I26">
            <v>860.53</v>
          </cell>
          <cell r="J26">
            <v>0.4</v>
          </cell>
        </row>
        <row r="27">
          <cell r="G27">
            <v>20770.3</v>
          </cell>
          <cell r="H27">
            <v>32736.83</v>
          </cell>
          <cell r="I27">
            <v>2075.27</v>
          </cell>
          <cell r="J27">
            <v>0.3</v>
          </cell>
        </row>
        <row r="28">
          <cell r="G28">
            <v>32736.84</v>
          </cell>
          <cell r="H28">
            <v>99999999.989999995</v>
          </cell>
          <cell r="I28">
            <v>3116.36</v>
          </cell>
          <cell r="J28">
            <v>0</v>
          </cell>
        </row>
        <row r="34">
          <cell r="G34">
            <v>0.01</v>
          </cell>
          <cell r="H34">
            <v>1768.96</v>
          </cell>
          <cell r="J34">
            <v>407.02</v>
          </cell>
        </row>
        <row r="35">
          <cell r="G35">
            <v>1768.97</v>
          </cell>
          <cell r="H35">
            <v>2604.6799999999998</v>
          </cell>
          <cell r="J35">
            <v>406.83</v>
          </cell>
        </row>
        <row r="36">
          <cell r="G36">
            <v>2604.69</v>
          </cell>
          <cell r="H36">
            <v>2653.38</v>
          </cell>
          <cell r="J36">
            <v>406.83</v>
          </cell>
        </row>
        <row r="37">
          <cell r="G37">
            <v>2653.39</v>
          </cell>
          <cell r="H37">
            <v>3472.84</v>
          </cell>
          <cell r="J37">
            <v>406.62</v>
          </cell>
        </row>
        <row r="38">
          <cell r="G38">
            <v>3472.85</v>
          </cell>
          <cell r="H38">
            <v>3537.87</v>
          </cell>
          <cell r="J38">
            <v>392.77</v>
          </cell>
        </row>
        <row r="39">
          <cell r="G39">
            <v>3537.88</v>
          </cell>
          <cell r="H39">
            <v>3785.54</v>
          </cell>
          <cell r="J39">
            <v>382.46</v>
          </cell>
        </row>
        <row r="40">
          <cell r="G40">
            <v>3785.55</v>
          </cell>
          <cell r="H40">
            <v>4446.1499999999996</v>
          </cell>
          <cell r="J40">
            <v>382.46</v>
          </cell>
        </row>
        <row r="41">
          <cell r="G41">
            <v>4446.16</v>
          </cell>
          <cell r="H41">
            <v>4717.18</v>
          </cell>
          <cell r="J41">
            <v>354.23</v>
          </cell>
        </row>
        <row r="42">
          <cell r="G42">
            <v>4717.1899999999996</v>
          </cell>
          <cell r="H42">
            <v>5335.42</v>
          </cell>
          <cell r="J42">
            <v>324.87</v>
          </cell>
        </row>
        <row r="43">
          <cell r="G43">
            <v>5335.43</v>
          </cell>
          <cell r="H43">
            <v>6224.67</v>
          </cell>
          <cell r="J43">
            <v>294.63</v>
          </cell>
        </row>
        <row r="44">
          <cell r="G44">
            <v>6224.68</v>
          </cell>
          <cell r="H44">
            <v>7113.9</v>
          </cell>
          <cell r="J44">
            <v>253.54</v>
          </cell>
        </row>
        <row r="45">
          <cell r="G45">
            <v>7113.91</v>
          </cell>
          <cell r="H45">
            <v>7382.33</v>
          </cell>
          <cell r="J45">
            <v>217.61</v>
          </cell>
        </row>
        <row r="46">
          <cell r="G46">
            <v>7382.34</v>
          </cell>
          <cell r="H46">
            <v>99999999.989999995</v>
          </cell>
          <cell r="J46">
            <v>0</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ares_Noviembre"/>
      <sheetName val="SDOS_MEX"/>
      <sheetName val="IMSS"/>
      <sheetName val="VAR"/>
      <sheetName val="ISR_ConceptosGrav"/>
      <sheetName val="T_Extra"/>
      <sheetName val="D_Festivo"/>
      <sheetName val="PVAC_Y_PremioAntiguedad"/>
      <sheetName val="TABLAS"/>
      <sheetName val="ROCHE-CONNECT"/>
      <sheetName val="FIP"/>
      <sheetName val="Prestamos"/>
      <sheetName val="calculo"/>
      <sheetName val="tabla isr"/>
      <sheetName val="tabla_is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1">
          <cell r="G11" t="str">
            <v>BEZARES</v>
          </cell>
          <cell r="H11">
            <v>468</v>
          </cell>
        </row>
        <row r="12">
          <cell r="G12" t="str">
            <v>CUERNAVACA</v>
          </cell>
          <cell r="H12">
            <v>440.5</v>
          </cell>
        </row>
        <row r="13">
          <cell r="G13" t="str">
            <v>TOLUCA</v>
          </cell>
          <cell r="H13">
            <v>440.5</v>
          </cell>
        </row>
      </sheetData>
      <sheetData sheetId="9" refreshError="1"/>
      <sheetData sheetId="10" refreshError="1"/>
      <sheetData sheetId="11" refreshError="1"/>
      <sheetData sheetId="12" refreshError="1"/>
      <sheetData sheetId="13" refreshError="1"/>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sheetName val="Cálculo"/>
      <sheetName val="AGUINALDO M4"/>
      <sheetName val="BASE"/>
      <sheetName val="AGUINALDO_M4"/>
      <sheetName val="AGUINALDO_M41"/>
    </sheetNames>
    <sheetDataSet>
      <sheetData sheetId="0" refreshError="1">
        <row r="11">
          <cell r="G11">
            <v>0.01</v>
          </cell>
          <cell r="H11">
            <v>496.07</v>
          </cell>
          <cell r="I11">
            <v>0</v>
          </cell>
          <cell r="J11">
            <v>0.03</v>
          </cell>
        </row>
        <row r="12">
          <cell r="G12">
            <v>496.08</v>
          </cell>
          <cell r="H12">
            <v>4210.41</v>
          </cell>
          <cell r="I12">
            <v>14.88</v>
          </cell>
          <cell r="J12">
            <v>0.1</v>
          </cell>
        </row>
        <row r="13">
          <cell r="G13">
            <v>4210.42</v>
          </cell>
          <cell r="H13">
            <v>7399.42</v>
          </cell>
          <cell r="I13">
            <v>386.31</v>
          </cell>
          <cell r="J13">
            <v>0.17</v>
          </cell>
        </row>
        <row r="14">
          <cell r="G14">
            <v>7399.43</v>
          </cell>
          <cell r="H14">
            <v>8601.5</v>
          </cell>
          <cell r="I14">
            <v>928.46</v>
          </cell>
          <cell r="J14">
            <v>0.25</v>
          </cell>
        </row>
        <row r="15">
          <cell r="G15">
            <v>8601.51</v>
          </cell>
          <cell r="H15">
            <v>99999999.989999995</v>
          </cell>
          <cell r="I15">
            <v>1228.98</v>
          </cell>
          <cell r="J15">
            <v>0.3</v>
          </cell>
        </row>
        <row r="16">
          <cell r="G16">
            <v>8601.51</v>
          </cell>
          <cell r="H16">
            <v>99999999.989999995</v>
          </cell>
          <cell r="I16">
            <v>1228.98</v>
          </cell>
          <cell r="J16">
            <v>0.3</v>
          </cell>
        </row>
        <row r="17">
          <cell r="G17">
            <v>8601.51</v>
          </cell>
          <cell r="H17">
            <v>99999999.989999995</v>
          </cell>
          <cell r="I17">
            <v>1228.98</v>
          </cell>
          <cell r="J17">
            <v>0.3</v>
          </cell>
        </row>
        <row r="21">
          <cell r="B21">
            <v>0.01</v>
          </cell>
          <cell r="C21">
            <v>5952.84</v>
          </cell>
          <cell r="D21">
            <v>0</v>
          </cell>
          <cell r="E21">
            <v>0.5</v>
          </cell>
        </row>
        <row r="22">
          <cell r="B22">
            <v>5952.85</v>
          </cell>
          <cell r="C22">
            <v>50524.92</v>
          </cell>
          <cell r="D22">
            <v>89.28</v>
          </cell>
          <cell r="E22">
            <v>0.5</v>
          </cell>
        </row>
        <row r="23">
          <cell r="B23">
            <v>50524.93</v>
          </cell>
          <cell r="C23">
            <v>88793.04</v>
          </cell>
          <cell r="D23">
            <v>2318.04</v>
          </cell>
          <cell r="E23">
            <v>0.5</v>
          </cell>
        </row>
        <row r="24">
          <cell r="B24">
            <v>88793.05</v>
          </cell>
          <cell r="C24">
            <v>103218</v>
          </cell>
          <cell r="D24">
            <v>5570.28</v>
          </cell>
          <cell r="E24">
            <v>0.5</v>
          </cell>
        </row>
        <row r="25">
          <cell r="B25">
            <v>103218.01</v>
          </cell>
          <cell r="C25">
            <v>123580.2</v>
          </cell>
          <cell r="D25">
            <v>7373.88</v>
          </cell>
          <cell r="E25">
            <v>0.5</v>
          </cell>
        </row>
        <row r="26">
          <cell r="B26">
            <v>123580.21</v>
          </cell>
          <cell r="C26">
            <v>249243.48</v>
          </cell>
          <cell r="D26">
            <v>10428.120000000001</v>
          </cell>
          <cell r="E26">
            <v>0.4</v>
          </cell>
        </row>
        <row r="27">
          <cell r="B27">
            <v>249243.49</v>
          </cell>
          <cell r="C27">
            <v>392841.96</v>
          </cell>
          <cell r="D27">
            <v>25507.68</v>
          </cell>
          <cell r="E27">
            <v>0.3</v>
          </cell>
        </row>
        <row r="28">
          <cell r="B28">
            <v>392841.97</v>
          </cell>
          <cell r="C28" t="str">
            <v>En adelante</v>
          </cell>
          <cell r="D28">
            <v>38431.56</v>
          </cell>
          <cell r="E28">
            <v>0</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U369"/>
  <sheetViews>
    <sheetView tabSelected="1" topLeftCell="B1" zoomScale="85" zoomScaleNormal="85" workbookViewId="0">
      <selection activeCell="I8" sqref="I8"/>
    </sheetView>
  </sheetViews>
  <sheetFormatPr baseColWidth="10" defaultColWidth="0" defaultRowHeight="12.75" zeroHeight="1"/>
  <cols>
    <col min="1" max="1" width="11.42578125" style="424" hidden="1" customWidth="1"/>
    <col min="2" max="3" width="4" style="424" customWidth="1"/>
    <col min="4" max="4" width="12.28515625" style="424" customWidth="1"/>
    <col min="5" max="5" width="1.7109375" style="424" customWidth="1"/>
    <col min="6" max="6" width="4.28515625" style="424" customWidth="1"/>
    <col min="7" max="7" width="2.140625" style="424" customWidth="1"/>
    <col min="8" max="8" width="41.140625" style="424" customWidth="1"/>
    <col min="9" max="9" width="16" style="302" customWidth="1"/>
    <col min="10" max="10" width="16" style="302" hidden="1" customWidth="1"/>
    <col min="11" max="11" width="10.28515625" style="302" hidden="1" customWidth="1"/>
    <col min="12" max="12" width="5.7109375" style="302" hidden="1" customWidth="1"/>
    <col min="13" max="14" width="3.140625" style="424" customWidth="1"/>
    <col min="15" max="15" width="3.140625" style="424" hidden="1" customWidth="1"/>
    <col min="16" max="16" width="4" style="424" hidden="1" customWidth="1"/>
    <col min="17" max="17" width="9.140625" style="424" hidden="1" customWidth="1"/>
    <col min="18" max="18" width="7.140625" style="424" hidden="1" customWidth="1"/>
    <col min="19" max="19" width="11.5703125" style="424" hidden="1" customWidth="1"/>
    <col min="20" max="21" width="9" style="424" hidden="1" customWidth="1"/>
    <col min="22" max="16384" width="11.42578125" style="424" hidden="1"/>
  </cols>
  <sheetData>
    <row r="1" spans="2:19" ht="13.5" thickBot="1">
      <c r="B1" s="581"/>
      <c r="C1" s="581"/>
      <c r="D1" s="581"/>
      <c r="E1" s="581"/>
      <c r="F1" s="495"/>
      <c r="G1" s="495"/>
      <c r="H1" s="495"/>
      <c r="I1" s="497"/>
      <c r="J1" s="497"/>
      <c r="K1" s="497"/>
      <c r="L1" s="497"/>
      <c r="M1" s="495"/>
      <c r="N1" s="495"/>
      <c r="O1" s="495"/>
      <c r="P1" s="495"/>
    </row>
    <row r="2" spans="2:19" ht="13.5" thickTop="1">
      <c r="B2" s="581"/>
      <c r="C2" s="581"/>
      <c r="D2" s="581"/>
      <c r="E2" s="581"/>
      <c r="F2" s="495"/>
      <c r="G2" s="534"/>
      <c r="H2" s="535"/>
      <c r="I2" s="536"/>
      <c r="J2" s="536"/>
      <c r="K2" s="536"/>
      <c r="L2" s="536"/>
      <c r="M2" s="537"/>
      <c r="N2" s="484"/>
      <c r="O2" s="484"/>
      <c r="P2" s="495"/>
    </row>
    <row r="3" spans="2:19">
      <c r="B3" s="581"/>
      <c r="C3" s="581"/>
      <c r="D3" s="581"/>
      <c r="E3" s="581"/>
      <c r="F3" s="495"/>
      <c r="G3" s="538"/>
      <c r="H3" s="590" t="s">
        <v>259</v>
      </c>
      <c r="I3" s="590"/>
      <c r="J3" s="485"/>
      <c r="K3" s="485"/>
      <c r="L3" s="485"/>
      <c r="M3" s="539"/>
      <c r="N3" s="484"/>
      <c r="O3" s="484"/>
      <c r="P3" s="495"/>
    </row>
    <row r="4" spans="2:19">
      <c r="B4" s="581"/>
      <c r="C4" s="581"/>
      <c r="D4" s="581"/>
      <c r="E4" s="581"/>
      <c r="F4" s="495"/>
      <c r="G4" s="538"/>
      <c r="H4" s="484"/>
      <c r="I4" s="485"/>
      <c r="J4" s="485"/>
      <c r="K4" s="485"/>
      <c r="L4" s="485"/>
      <c r="M4" s="539"/>
      <c r="N4" s="484"/>
      <c r="O4" s="484"/>
      <c r="P4" s="495"/>
    </row>
    <row r="5" spans="2:19" ht="15">
      <c r="B5" s="581"/>
      <c r="C5" s="581"/>
      <c r="D5" s="581"/>
      <c r="E5" s="581"/>
      <c r="F5" s="495"/>
      <c r="G5" s="587"/>
      <c r="H5" s="588"/>
      <c r="I5" s="588"/>
      <c r="J5" s="588"/>
      <c r="K5" s="588"/>
      <c r="L5" s="588"/>
      <c r="M5" s="589"/>
      <c r="N5" s="576"/>
      <c r="O5" s="576"/>
      <c r="P5" s="495"/>
      <c r="S5" s="586">
        <v>43101</v>
      </c>
    </row>
    <row r="6" spans="2:19" ht="13.5" thickBot="1">
      <c r="B6" s="581"/>
      <c r="C6" s="581"/>
      <c r="D6" s="581"/>
      <c r="E6" s="581"/>
      <c r="F6" s="495"/>
      <c r="G6" s="538"/>
      <c r="H6" s="484"/>
      <c r="I6" s="485"/>
      <c r="J6" s="485"/>
      <c r="K6" s="485"/>
      <c r="L6" s="485"/>
      <c r="M6" s="539"/>
      <c r="N6" s="484"/>
      <c r="O6" s="484"/>
      <c r="P6" s="495"/>
      <c r="S6" s="586">
        <v>43102</v>
      </c>
    </row>
    <row r="7" spans="2:19" ht="13.5" thickBot="1">
      <c r="B7" s="581"/>
      <c r="C7" s="581"/>
      <c r="D7" s="581"/>
      <c r="E7" s="581"/>
      <c r="F7" s="495"/>
      <c r="G7" s="538"/>
      <c r="H7" s="575" t="s">
        <v>256</v>
      </c>
      <c r="I7" s="585">
        <v>43419</v>
      </c>
      <c r="J7" s="577"/>
      <c r="K7" s="486"/>
      <c r="L7" s="486"/>
      <c r="M7" s="539"/>
      <c r="N7" s="484"/>
      <c r="O7" s="484"/>
      <c r="P7" s="495"/>
      <c r="S7" s="586">
        <v>43103</v>
      </c>
    </row>
    <row r="8" spans="2:19" ht="13.5" thickBot="1">
      <c r="B8" s="581"/>
      <c r="C8" s="581"/>
      <c r="D8" s="581"/>
      <c r="E8" s="581"/>
      <c r="F8" s="495"/>
      <c r="G8" s="538"/>
      <c r="H8" s="575" t="s">
        <v>257</v>
      </c>
      <c r="I8" s="585">
        <v>43465</v>
      </c>
      <c r="J8" s="577"/>
      <c r="K8" s="486"/>
      <c r="L8" s="486"/>
      <c r="M8" s="539"/>
      <c r="N8" s="484"/>
      <c r="O8" s="484"/>
      <c r="P8" s="495"/>
      <c r="S8" s="586">
        <v>43104</v>
      </c>
    </row>
    <row r="9" spans="2:19" ht="13.5" hidden="1" thickBot="1">
      <c r="B9" s="581"/>
      <c r="C9" s="581"/>
      <c r="D9" s="581"/>
      <c r="E9" s="581"/>
      <c r="F9" s="495"/>
      <c r="G9" s="538"/>
      <c r="H9" s="490" t="s">
        <v>166</v>
      </c>
      <c r="I9" s="571">
        <f>+FINIQUITO!B18</f>
        <v>0.126</v>
      </c>
      <c r="J9" s="571"/>
      <c r="K9" s="487"/>
      <c r="L9" s="487"/>
      <c r="M9" s="539"/>
      <c r="N9" s="484"/>
      <c r="O9" s="484"/>
      <c r="P9" s="495"/>
      <c r="S9" s="586">
        <v>43105</v>
      </c>
    </row>
    <row r="10" spans="2:19" ht="13.5" thickBot="1">
      <c r="B10" s="581"/>
      <c r="C10" s="581"/>
      <c r="D10" s="581"/>
      <c r="E10" s="581"/>
      <c r="F10" s="495"/>
      <c r="G10" s="538"/>
      <c r="H10" s="490" t="s">
        <v>167</v>
      </c>
      <c r="I10" s="583">
        <v>10000</v>
      </c>
      <c r="J10" s="578"/>
      <c r="K10" s="488"/>
      <c r="L10" s="488"/>
      <c r="M10" s="539"/>
      <c r="N10" s="484"/>
      <c r="O10" s="484"/>
      <c r="P10" s="495"/>
      <c r="S10" s="586">
        <v>43106</v>
      </c>
    </row>
    <row r="11" spans="2:19" hidden="1">
      <c r="B11" s="581"/>
      <c r="C11" s="581"/>
      <c r="D11" s="581"/>
      <c r="E11" s="581"/>
      <c r="F11" s="495"/>
      <c r="G11" s="538"/>
      <c r="H11" s="490" t="s">
        <v>165</v>
      </c>
      <c r="I11" s="572">
        <f>+FINIQUITO!B20</f>
        <v>333.33333333333331</v>
      </c>
      <c r="J11" s="572"/>
      <c r="K11" s="488"/>
      <c r="L11" s="488"/>
      <c r="M11" s="539"/>
      <c r="N11" s="484"/>
      <c r="O11" s="484"/>
      <c r="P11" s="495"/>
      <c r="S11" s="586">
        <v>43107</v>
      </c>
    </row>
    <row r="12" spans="2:19" hidden="1">
      <c r="B12" s="581"/>
      <c r="C12" s="581"/>
      <c r="D12" s="581"/>
      <c r="E12" s="581"/>
      <c r="F12" s="495"/>
      <c r="G12" s="538"/>
      <c r="H12" s="575" t="s">
        <v>254</v>
      </c>
      <c r="I12" s="572">
        <f>FINIQUITO!G49</f>
        <v>348.40182648401827</v>
      </c>
      <c r="J12" s="572"/>
      <c r="K12" s="488"/>
      <c r="L12" s="488"/>
      <c r="M12" s="539"/>
      <c r="N12" s="484"/>
      <c r="O12" s="484"/>
      <c r="P12" s="495"/>
      <c r="S12" s="586">
        <v>43108</v>
      </c>
    </row>
    <row r="13" spans="2:19" ht="10.5" hidden="1" customHeight="1">
      <c r="B13" s="581"/>
      <c r="C13" s="581"/>
      <c r="D13" s="581"/>
      <c r="E13" s="581"/>
      <c r="F13" s="495"/>
      <c r="G13" s="538"/>
      <c r="H13" s="484"/>
      <c r="I13" s="485"/>
      <c r="J13" s="485"/>
      <c r="K13" s="485"/>
      <c r="L13" s="485"/>
      <c r="M13" s="539"/>
      <c r="N13" s="484"/>
      <c r="O13" s="484"/>
      <c r="P13" s="495"/>
      <c r="S13" s="586">
        <v>43109</v>
      </c>
    </row>
    <row r="14" spans="2:19" ht="15" hidden="1">
      <c r="B14" s="581"/>
      <c r="C14" s="581"/>
      <c r="D14" s="581"/>
      <c r="E14" s="581"/>
      <c r="F14" s="495"/>
      <c r="G14" s="545"/>
      <c r="H14" s="546" t="s">
        <v>168</v>
      </c>
      <c r="I14" s="547"/>
      <c r="J14" s="547"/>
      <c r="K14" s="547"/>
      <c r="L14" s="547"/>
      <c r="M14" s="548"/>
      <c r="N14" s="547"/>
      <c r="O14" s="547"/>
      <c r="P14" s="495"/>
      <c r="S14" s="586">
        <v>43110</v>
      </c>
    </row>
    <row r="15" spans="2:19" hidden="1">
      <c r="B15" s="581"/>
      <c r="C15" s="581"/>
      <c r="D15" s="581"/>
      <c r="E15" s="581"/>
      <c r="F15" s="495"/>
      <c r="G15" s="538"/>
      <c r="H15" s="489"/>
      <c r="I15" s="485"/>
      <c r="J15" s="485"/>
      <c r="K15" s="485"/>
      <c r="L15" s="485"/>
      <c r="M15" s="539"/>
      <c r="N15" s="484"/>
      <c r="O15" s="484"/>
      <c r="P15" s="495"/>
      <c r="S15" s="586">
        <v>43111</v>
      </c>
    </row>
    <row r="16" spans="2:19" ht="13.5" hidden="1" thickBot="1">
      <c r="B16" s="581"/>
      <c r="C16" s="581"/>
      <c r="D16" s="581"/>
      <c r="E16" s="581"/>
      <c r="F16" s="495"/>
      <c r="G16" s="538"/>
      <c r="H16" s="490" t="s">
        <v>169</v>
      </c>
      <c r="I16" s="485"/>
      <c r="J16" s="485"/>
      <c r="K16" s="549"/>
      <c r="L16" s="549"/>
      <c r="M16" s="539"/>
      <c r="N16" s="484"/>
      <c r="O16" s="484"/>
      <c r="P16" s="495"/>
      <c r="S16" s="586">
        <v>43112</v>
      </c>
    </row>
    <row r="17" spans="2:19" ht="13.5" hidden="1" thickBot="1">
      <c r="B17" s="581"/>
      <c r="C17" s="581"/>
      <c r="D17" s="581"/>
      <c r="E17" s="581"/>
      <c r="F17" s="495"/>
      <c r="G17" s="538"/>
      <c r="H17" s="485" t="s">
        <v>100</v>
      </c>
      <c r="I17" s="491">
        <f>+FINIQUITO!C32</f>
        <v>5000</v>
      </c>
      <c r="J17" s="491"/>
      <c r="K17" s="573">
        <v>15</v>
      </c>
      <c r="L17" s="550" t="s">
        <v>251</v>
      </c>
      <c r="M17" s="539"/>
      <c r="N17" s="484"/>
      <c r="O17" s="484"/>
      <c r="P17" s="495"/>
      <c r="S17" s="586">
        <v>43113</v>
      </c>
    </row>
    <row r="18" spans="2:19" ht="13.5" thickBot="1">
      <c r="B18" s="581"/>
      <c r="C18" s="581"/>
      <c r="D18" s="581"/>
      <c r="E18" s="581"/>
      <c r="F18" s="495"/>
      <c r="G18" s="538"/>
      <c r="H18" s="575" t="s">
        <v>252</v>
      </c>
      <c r="I18" s="553">
        <v>15</v>
      </c>
      <c r="J18" s="491"/>
      <c r="K18" s="573"/>
      <c r="L18" s="550"/>
      <c r="M18" s="539"/>
      <c r="N18" s="484"/>
      <c r="O18" s="484"/>
      <c r="P18" s="495"/>
      <c r="S18" s="586">
        <v>43114</v>
      </c>
    </row>
    <row r="19" spans="2:19" ht="13.5" thickBot="1">
      <c r="B19" s="581"/>
      <c r="C19" s="581"/>
      <c r="D19" s="581"/>
      <c r="E19" s="581"/>
      <c r="F19" s="495"/>
      <c r="G19" s="538"/>
      <c r="H19" s="485" t="s">
        <v>132</v>
      </c>
      <c r="I19" s="584">
        <f>IF(I7&gt;I8,0,IF(K19="NO",0,+FINIQUITO!C37))</f>
        <v>643.83561643835606</v>
      </c>
      <c r="J19" s="491"/>
      <c r="K19" s="574" t="s">
        <v>175</v>
      </c>
      <c r="L19" s="491"/>
      <c r="M19" s="539"/>
      <c r="N19" s="484"/>
      <c r="O19" s="484"/>
      <c r="P19" s="495"/>
      <c r="S19" s="586">
        <v>43115</v>
      </c>
    </row>
    <row r="20" spans="2:19" ht="13.5" hidden="1" thickBot="1">
      <c r="B20" s="581"/>
      <c r="C20" s="581"/>
      <c r="D20" s="581"/>
      <c r="E20" s="581"/>
      <c r="F20" s="495"/>
      <c r="G20" s="538"/>
      <c r="H20" s="485"/>
      <c r="I20" s="491"/>
      <c r="J20" s="491"/>
      <c r="K20" s="574"/>
      <c r="L20" s="491"/>
      <c r="M20" s="539"/>
      <c r="N20" s="484"/>
      <c r="O20" s="484"/>
      <c r="P20" s="495"/>
      <c r="S20" s="586">
        <v>43116</v>
      </c>
    </row>
    <row r="21" spans="2:19" ht="13.5" hidden="1" thickBot="1">
      <c r="B21" s="581"/>
      <c r="C21" s="581"/>
      <c r="D21" s="581"/>
      <c r="E21" s="581"/>
      <c r="F21" s="495"/>
      <c r="G21" s="538"/>
      <c r="H21" s="485"/>
      <c r="I21" s="491"/>
      <c r="J21" s="491"/>
      <c r="K21" s="574"/>
      <c r="L21" s="491"/>
      <c r="M21" s="539"/>
      <c r="N21" s="484"/>
      <c r="O21" s="484"/>
      <c r="P21" s="495"/>
      <c r="S21" s="586">
        <v>43117</v>
      </c>
    </row>
    <row r="22" spans="2:19" ht="13.5" hidden="1" thickBot="1">
      <c r="B22" s="581"/>
      <c r="C22" s="581"/>
      <c r="D22" s="581"/>
      <c r="E22" s="581"/>
      <c r="F22" s="495"/>
      <c r="G22" s="538"/>
      <c r="H22" s="485"/>
      <c r="I22" s="491"/>
      <c r="J22" s="491"/>
      <c r="K22" s="574"/>
      <c r="L22" s="491"/>
      <c r="M22" s="539"/>
      <c r="N22" s="484"/>
      <c r="O22" s="484"/>
      <c r="P22" s="495"/>
      <c r="S22" s="586">
        <v>43118</v>
      </c>
    </row>
    <row r="23" spans="2:19" ht="13.5" hidden="1" thickBot="1">
      <c r="B23" s="581"/>
      <c r="C23" s="581"/>
      <c r="D23" s="581"/>
      <c r="E23" s="581"/>
      <c r="F23" s="495"/>
      <c r="G23" s="538"/>
      <c r="H23" s="485"/>
      <c r="I23" s="491"/>
      <c r="J23" s="491"/>
      <c r="K23" s="574"/>
      <c r="L23" s="491"/>
      <c r="M23" s="539"/>
      <c r="N23" s="484"/>
      <c r="O23" s="484"/>
      <c r="P23" s="495"/>
      <c r="S23" s="586">
        <v>43119</v>
      </c>
    </row>
    <row r="24" spans="2:19" ht="13.5" hidden="1" thickBot="1">
      <c r="B24" s="581"/>
      <c r="C24" s="581"/>
      <c r="D24" s="581"/>
      <c r="E24" s="581"/>
      <c r="F24" s="495"/>
      <c r="G24" s="538"/>
      <c r="H24" s="581"/>
      <c r="I24" s="491"/>
      <c r="J24" s="491"/>
      <c r="K24" s="574"/>
      <c r="L24" s="491"/>
      <c r="M24" s="539"/>
      <c r="N24" s="484"/>
      <c r="O24" s="484"/>
      <c r="P24" s="495"/>
      <c r="S24" s="586">
        <v>43120</v>
      </c>
    </row>
    <row r="25" spans="2:19" ht="13.5" hidden="1" thickBot="1">
      <c r="B25" s="581"/>
      <c r="C25" s="581"/>
      <c r="D25" s="581"/>
      <c r="E25" s="581"/>
      <c r="F25" s="495"/>
      <c r="G25" s="538"/>
      <c r="H25" s="581"/>
      <c r="I25" s="491"/>
      <c r="J25" s="491"/>
      <c r="K25" s="574"/>
      <c r="L25" s="491"/>
      <c r="M25" s="539"/>
      <c r="N25" s="484"/>
      <c r="O25" s="484"/>
      <c r="P25" s="495"/>
      <c r="S25" s="586">
        <v>43121</v>
      </c>
    </row>
    <row r="26" spans="2:19" ht="13.5" hidden="1" thickBot="1">
      <c r="B26" s="581"/>
      <c r="C26" s="581"/>
      <c r="D26" s="581"/>
      <c r="E26" s="581"/>
      <c r="F26" s="495"/>
      <c r="G26" s="538"/>
      <c r="H26" s="485"/>
      <c r="I26" s="491"/>
      <c r="J26" s="491"/>
      <c r="K26" s="574"/>
      <c r="L26" s="491"/>
      <c r="M26" s="539"/>
      <c r="N26" s="484"/>
      <c r="O26" s="484"/>
      <c r="P26" s="495"/>
      <c r="S26" s="586">
        <v>43122</v>
      </c>
    </row>
    <row r="27" spans="2:19" ht="13.5" hidden="1" thickBot="1">
      <c r="B27" s="581"/>
      <c r="C27" s="581"/>
      <c r="D27" s="581"/>
      <c r="E27" s="581"/>
      <c r="F27" s="495"/>
      <c r="G27" s="538"/>
      <c r="H27" s="485" t="s">
        <v>170</v>
      </c>
      <c r="I27" s="491">
        <f>IF(K27="NO",0,+FINIQUITO!C35)</f>
        <v>2257.5342465753424</v>
      </c>
      <c r="J27" s="491"/>
      <c r="K27" s="574" t="s">
        <v>175</v>
      </c>
      <c r="L27" s="491"/>
      <c r="M27" s="539"/>
      <c r="N27" s="484"/>
      <c r="O27" s="484"/>
      <c r="P27" s="495"/>
      <c r="S27" s="586">
        <v>43123</v>
      </c>
    </row>
    <row r="28" spans="2:19" ht="13.5" hidden="1" thickBot="1">
      <c r="B28" s="581"/>
      <c r="C28" s="581"/>
      <c r="D28" s="581"/>
      <c r="E28" s="581"/>
      <c r="F28" s="495"/>
      <c r="G28" s="538"/>
      <c r="H28" s="485" t="s">
        <v>246</v>
      </c>
      <c r="I28" s="491">
        <f>FINIQUITO!C36</f>
        <v>564.38356164383561</v>
      </c>
      <c r="J28" s="491"/>
      <c r="K28" s="574" t="s">
        <v>175</v>
      </c>
      <c r="L28" s="491"/>
      <c r="M28" s="540"/>
      <c r="N28" s="582"/>
      <c r="O28" s="582"/>
      <c r="P28" s="496"/>
      <c r="Q28" s="425"/>
      <c r="R28" s="425"/>
      <c r="S28" s="586">
        <v>43124</v>
      </c>
    </row>
    <row r="29" spans="2:19" ht="13.5" hidden="1" thickBot="1">
      <c r="B29" s="581"/>
      <c r="C29" s="581"/>
      <c r="D29" s="581"/>
      <c r="E29" s="581"/>
      <c r="F29" s="495"/>
      <c r="G29" s="538"/>
      <c r="H29" s="484"/>
      <c r="I29" s="485"/>
      <c r="J29" s="485"/>
      <c r="K29" s="491"/>
      <c r="L29" s="491"/>
      <c r="M29" s="539"/>
      <c r="N29" s="484"/>
      <c r="O29" s="484"/>
      <c r="P29" s="495"/>
      <c r="S29" s="586">
        <v>43125</v>
      </c>
    </row>
    <row r="30" spans="2:19" ht="13.5" hidden="1" thickBot="1">
      <c r="B30" s="581"/>
      <c r="C30" s="581"/>
      <c r="D30" s="581"/>
      <c r="E30" s="581"/>
      <c r="F30" s="495"/>
      <c r="G30" s="538"/>
      <c r="H30" s="575" t="s">
        <v>255</v>
      </c>
      <c r="I30" s="574" t="s">
        <v>175</v>
      </c>
      <c r="J30" s="579"/>
      <c r="K30" s="491"/>
      <c r="L30" s="491"/>
      <c r="M30" s="539"/>
      <c r="N30" s="484"/>
      <c r="O30" s="484"/>
      <c r="P30" s="495"/>
      <c r="S30" s="586">
        <v>43126</v>
      </c>
    </row>
    <row r="31" spans="2:19" hidden="1">
      <c r="B31" s="581"/>
      <c r="C31" s="581"/>
      <c r="D31" s="581"/>
      <c r="E31" s="581"/>
      <c r="F31" s="495"/>
      <c r="G31" s="538"/>
      <c r="H31" s="484" t="s">
        <v>171</v>
      </c>
      <c r="I31" s="491">
        <f>FINIQUITO!C52</f>
        <v>31356.164383561645</v>
      </c>
      <c r="J31" s="491"/>
      <c r="K31" s="494"/>
      <c r="L31" s="494"/>
      <c r="M31" s="539"/>
      <c r="N31" s="484"/>
      <c r="O31" s="484"/>
      <c r="P31" s="495"/>
      <c r="S31" s="586">
        <v>43127</v>
      </c>
    </row>
    <row r="32" spans="2:19" hidden="1">
      <c r="B32" s="581"/>
      <c r="C32" s="581"/>
      <c r="D32" s="581"/>
      <c r="E32" s="581"/>
      <c r="F32" s="495"/>
      <c r="G32" s="538"/>
      <c r="H32" s="484" t="s">
        <v>172</v>
      </c>
      <c r="I32" s="491">
        <f>FINIQUITO!C53</f>
        <v>877.97260273972609</v>
      </c>
      <c r="J32" s="491"/>
      <c r="K32" s="491"/>
      <c r="L32" s="491"/>
      <c r="M32" s="539"/>
      <c r="N32" s="484"/>
      <c r="O32" s="484"/>
      <c r="P32" s="495"/>
      <c r="S32" s="586">
        <v>43128</v>
      </c>
    </row>
    <row r="33" spans="2:19" hidden="1">
      <c r="B33" s="581"/>
      <c r="C33" s="581"/>
      <c r="D33" s="581"/>
      <c r="E33" s="581"/>
      <c r="F33" s="495"/>
      <c r="G33" s="538"/>
      <c r="H33" s="484" t="s">
        <v>173</v>
      </c>
      <c r="I33" s="492">
        <f>FINIQUITO!C54</f>
        <v>273.00690410958902</v>
      </c>
      <c r="J33" s="491"/>
      <c r="K33" s="491"/>
      <c r="L33" s="491"/>
      <c r="M33" s="539"/>
      <c r="N33" s="484"/>
      <c r="O33" s="484"/>
      <c r="P33" s="495"/>
      <c r="S33" s="586">
        <v>43129</v>
      </c>
    </row>
    <row r="34" spans="2:19" hidden="1">
      <c r="B34" s="581"/>
      <c r="C34" s="581"/>
      <c r="D34" s="581"/>
      <c r="E34" s="581"/>
      <c r="F34" s="495"/>
      <c r="G34" s="538"/>
      <c r="H34" s="484"/>
      <c r="I34" s="491"/>
      <c r="J34" s="491"/>
      <c r="K34" s="491"/>
      <c r="L34" s="491"/>
      <c r="M34" s="539"/>
      <c r="N34" s="484"/>
      <c r="O34" s="484"/>
      <c r="P34" s="495"/>
      <c r="S34" s="586">
        <v>43130</v>
      </c>
    </row>
    <row r="35" spans="2:19" ht="13.5" hidden="1" thickBot="1">
      <c r="B35" s="581"/>
      <c r="C35" s="581"/>
      <c r="D35" s="581"/>
      <c r="E35" s="581"/>
      <c r="F35" s="495"/>
      <c r="G35" s="538"/>
      <c r="H35" s="490" t="s">
        <v>37</v>
      </c>
      <c r="I35" s="493">
        <f>SUM(I17:I33)</f>
        <v>40987.897315068498</v>
      </c>
      <c r="J35" s="580"/>
      <c r="K35" s="491"/>
      <c r="L35" s="491"/>
      <c r="M35" s="539"/>
      <c r="N35" s="484"/>
      <c r="O35" s="484"/>
      <c r="P35" s="495"/>
      <c r="S35" s="586">
        <v>43131</v>
      </c>
    </row>
    <row r="36" spans="2:19">
      <c r="B36" s="581"/>
      <c r="C36" s="581"/>
      <c r="D36" s="581"/>
      <c r="E36" s="581"/>
      <c r="F36" s="495"/>
      <c r="G36" s="538"/>
      <c r="H36" s="484"/>
      <c r="I36" s="491"/>
      <c r="J36" s="491"/>
      <c r="K36" s="491"/>
      <c r="L36" s="491"/>
      <c r="M36" s="539"/>
      <c r="N36" s="484"/>
      <c r="O36" s="484"/>
      <c r="P36" s="495"/>
      <c r="S36" s="586">
        <v>43132</v>
      </c>
    </row>
    <row r="37" spans="2:19" hidden="1">
      <c r="B37" s="581"/>
      <c r="C37" s="581"/>
      <c r="D37" s="581"/>
      <c r="E37" s="581"/>
      <c r="F37" s="495"/>
      <c r="G37" s="538"/>
      <c r="H37" s="484"/>
      <c r="I37" s="485"/>
      <c r="J37" s="485"/>
      <c r="K37" s="485"/>
      <c r="L37" s="485"/>
      <c r="M37" s="539"/>
      <c r="N37" s="484"/>
      <c r="O37" s="484"/>
      <c r="P37" s="495"/>
      <c r="S37" s="586">
        <v>43133</v>
      </c>
    </row>
    <row r="38" spans="2:19" ht="12.75" customHeight="1">
      <c r="B38" s="581"/>
      <c r="C38" s="581"/>
      <c r="D38" s="581"/>
      <c r="E38" s="581"/>
      <c r="F38" s="495"/>
      <c r="G38" s="538"/>
      <c r="H38" s="591" t="s">
        <v>258</v>
      </c>
      <c r="I38" s="591"/>
      <c r="J38" s="591"/>
      <c r="K38" s="591"/>
      <c r="L38" s="591"/>
      <c r="M38" s="539"/>
      <c r="N38" s="484"/>
      <c r="O38" s="484"/>
      <c r="P38" s="495"/>
      <c r="S38" s="586">
        <v>43134</v>
      </c>
    </row>
    <row r="39" spans="2:19" ht="12.75" customHeight="1">
      <c r="B39" s="581"/>
      <c r="C39" s="581"/>
      <c r="D39" s="581"/>
      <c r="E39" s="581"/>
      <c r="F39" s="495"/>
      <c r="G39" s="538"/>
      <c r="H39" s="591"/>
      <c r="I39" s="591"/>
      <c r="J39" s="591"/>
      <c r="K39" s="591"/>
      <c r="L39" s="591"/>
      <c r="M39" s="539"/>
      <c r="N39" s="484"/>
      <c r="O39" s="484"/>
      <c r="P39" s="495"/>
      <c r="S39" s="586">
        <v>43135</v>
      </c>
    </row>
    <row r="40" spans="2:19" ht="13.5" thickBot="1">
      <c r="B40" s="581"/>
      <c r="C40" s="581"/>
      <c r="D40" s="581"/>
      <c r="E40" s="581"/>
      <c r="F40" s="495"/>
      <c r="G40" s="541"/>
      <c r="H40" s="542"/>
      <c r="I40" s="543"/>
      <c r="J40" s="543"/>
      <c r="K40" s="543"/>
      <c r="L40" s="543"/>
      <c r="M40" s="544"/>
      <c r="N40" s="582"/>
      <c r="O40" s="582"/>
      <c r="P40" s="496"/>
      <c r="Q40" s="425"/>
      <c r="R40" s="425"/>
      <c r="S40" s="586">
        <v>43136</v>
      </c>
    </row>
    <row r="41" spans="2:19" ht="13.5" thickTop="1">
      <c r="B41" s="581"/>
      <c r="C41" s="581"/>
      <c r="D41" s="581"/>
      <c r="E41" s="581"/>
      <c r="F41" s="495"/>
      <c r="G41" s="495"/>
      <c r="H41" s="495"/>
      <c r="I41" s="497"/>
      <c r="J41" s="497"/>
      <c r="K41" s="497"/>
      <c r="L41" s="497"/>
      <c r="M41" s="495"/>
      <c r="N41" s="495"/>
      <c r="O41" s="495"/>
      <c r="P41" s="495"/>
      <c r="S41" s="586">
        <v>43137</v>
      </c>
    </row>
    <row r="42" spans="2:19" hidden="1">
      <c r="S42" s="586">
        <v>43138</v>
      </c>
    </row>
    <row r="43" spans="2:19" hidden="1">
      <c r="S43" s="586">
        <v>43139</v>
      </c>
    </row>
    <row r="44" spans="2:19" hidden="1">
      <c r="S44" s="586">
        <v>43140</v>
      </c>
    </row>
    <row r="45" spans="2:19" hidden="1">
      <c r="S45" s="586">
        <v>43141</v>
      </c>
    </row>
    <row r="46" spans="2:19" hidden="1">
      <c r="S46" s="586">
        <v>43142</v>
      </c>
    </row>
    <row r="47" spans="2:19" hidden="1">
      <c r="S47" s="586">
        <v>43143</v>
      </c>
    </row>
    <row r="48" spans="2:19" hidden="1">
      <c r="S48" s="586">
        <v>43144</v>
      </c>
    </row>
    <row r="49" spans="19:19" hidden="1">
      <c r="S49" s="586">
        <v>43145</v>
      </c>
    </row>
    <row r="50" spans="19:19" hidden="1">
      <c r="S50" s="586">
        <v>43146</v>
      </c>
    </row>
    <row r="51" spans="19:19" hidden="1">
      <c r="S51" s="586">
        <v>43147</v>
      </c>
    </row>
    <row r="52" spans="19:19" hidden="1">
      <c r="S52" s="586">
        <v>43148</v>
      </c>
    </row>
    <row r="53" spans="19:19" hidden="1">
      <c r="S53" s="586">
        <v>43149</v>
      </c>
    </row>
    <row r="54" spans="19:19" hidden="1">
      <c r="S54" s="586">
        <v>43150</v>
      </c>
    </row>
    <row r="55" spans="19:19" hidden="1">
      <c r="S55" s="586">
        <v>43151</v>
      </c>
    </row>
    <row r="56" spans="19:19" hidden="1">
      <c r="S56" s="586">
        <v>43152</v>
      </c>
    </row>
    <row r="57" spans="19:19" hidden="1">
      <c r="S57" s="586">
        <v>43153</v>
      </c>
    </row>
    <row r="58" spans="19:19" hidden="1">
      <c r="S58" s="586">
        <v>43154</v>
      </c>
    </row>
    <row r="59" spans="19:19" hidden="1">
      <c r="S59" s="586">
        <v>43155</v>
      </c>
    </row>
    <row r="60" spans="19:19" hidden="1">
      <c r="S60" s="586">
        <v>43156</v>
      </c>
    </row>
    <row r="61" spans="19:19" hidden="1">
      <c r="S61" s="586">
        <v>43157</v>
      </c>
    </row>
    <row r="62" spans="19:19" hidden="1">
      <c r="S62" s="586">
        <v>43158</v>
      </c>
    </row>
    <row r="63" spans="19:19" hidden="1">
      <c r="S63" s="586">
        <v>43159</v>
      </c>
    </row>
    <row r="64" spans="19:19" hidden="1">
      <c r="S64" s="586">
        <v>43160</v>
      </c>
    </row>
    <row r="65" spans="19:19" hidden="1">
      <c r="S65" s="586">
        <v>43161</v>
      </c>
    </row>
    <row r="66" spans="19:19" hidden="1">
      <c r="S66" s="586">
        <v>43162</v>
      </c>
    </row>
    <row r="67" spans="19:19" hidden="1">
      <c r="S67" s="586">
        <v>43163</v>
      </c>
    </row>
    <row r="68" spans="19:19" hidden="1">
      <c r="S68" s="586">
        <v>43164</v>
      </c>
    </row>
    <row r="69" spans="19:19" hidden="1">
      <c r="S69" s="586">
        <v>43165</v>
      </c>
    </row>
    <row r="70" spans="19:19" hidden="1">
      <c r="S70" s="586">
        <v>43166</v>
      </c>
    </row>
    <row r="71" spans="19:19" hidden="1">
      <c r="S71" s="586">
        <v>43167</v>
      </c>
    </row>
    <row r="72" spans="19:19" hidden="1">
      <c r="S72" s="586">
        <v>43168</v>
      </c>
    </row>
    <row r="73" spans="19:19" hidden="1">
      <c r="S73" s="586">
        <v>43169</v>
      </c>
    </row>
    <row r="74" spans="19:19" hidden="1">
      <c r="S74" s="586">
        <v>43170</v>
      </c>
    </row>
    <row r="75" spans="19:19" hidden="1">
      <c r="S75" s="586">
        <v>43171</v>
      </c>
    </row>
    <row r="76" spans="19:19" hidden="1">
      <c r="S76" s="586">
        <v>43172</v>
      </c>
    </row>
    <row r="77" spans="19:19" hidden="1">
      <c r="S77" s="586">
        <v>43173</v>
      </c>
    </row>
    <row r="78" spans="19:19" hidden="1">
      <c r="S78" s="586">
        <v>43174</v>
      </c>
    </row>
    <row r="79" spans="19:19" hidden="1">
      <c r="S79" s="586">
        <v>43175</v>
      </c>
    </row>
    <row r="80" spans="19:19" hidden="1">
      <c r="S80" s="586">
        <v>43176</v>
      </c>
    </row>
    <row r="81" spans="19:19" hidden="1">
      <c r="S81" s="586">
        <v>43177</v>
      </c>
    </row>
    <row r="82" spans="19:19" hidden="1">
      <c r="S82" s="586">
        <v>43178</v>
      </c>
    </row>
    <row r="83" spans="19:19" hidden="1">
      <c r="S83" s="586">
        <v>43179</v>
      </c>
    </row>
    <row r="84" spans="19:19" hidden="1">
      <c r="S84" s="586">
        <v>43180</v>
      </c>
    </row>
    <row r="85" spans="19:19" hidden="1">
      <c r="S85" s="586">
        <v>43181</v>
      </c>
    </row>
    <row r="86" spans="19:19" hidden="1">
      <c r="S86" s="586">
        <v>43182</v>
      </c>
    </row>
    <row r="87" spans="19:19" hidden="1">
      <c r="S87" s="586">
        <v>43183</v>
      </c>
    </row>
    <row r="88" spans="19:19" hidden="1">
      <c r="S88" s="586">
        <v>43184</v>
      </c>
    </row>
    <row r="89" spans="19:19" hidden="1">
      <c r="S89" s="586">
        <v>43185</v>
      </c>
    </row>
    <row r="90" spans="19:19" hidden="1">
      <c r="S90" s="586">
        <v>43186</v>
      </c>
    </row>
    <row r="91" spans="19:19" hidden="1">
      <c r="S91" s="586">
        <v>43187</v>
      </c>
    </row>
    <row r="92" spans="19:19" hidden="1">
      <c r="S92" s="586">
        <v>43188</v>
      </c>
    </row>
    <row r="93" spans="19:19" hidden="1">
      <c r="S93" s="586">
        <v>43189</v>
      </c>
    </row>
    <row r="94" spans="19:19" hidden="1">
      <c r="S94" s="586">
        <v>43190</v>
      </c>
    </row>
    <row r="95" spans="19:19" hidden="1">
      <c r="S95" s="586">
        <v>43191</v>
      </c>
    </row>
    <row r="96" spans="19:19" hidden="1">
      <c r="S96" s="586">
        <v>43192</v>
      </c>
    </row>
    <row r="97" spans="19:19" hidden="1">
      <c r="S97" s="586">
        <v>43193</v>
      </c>
    </row>
    <row r="98" spans="19:19" hidden="1">
      <c r="S98" s="586">
        <v>43194</v>
      </c>
    </row>
    <row r="99" spans="19:19" hidden="1">
      <c r="S99" s="586">
        <v>43195</v>
      </c>
    </row>
    <row r="100" spans="19:19" hidden="1">
      <c r="S100" s="586">
        <v>43196</v>
      </c>
    </row>
    <row r="101" spans="19:19" hidden="1">
      <c r="S101" s="586">
        <v>43197</v>
      </c>
    </row>
    <row r="102" spans="19:19" hidden="1">
      <c r="S102" s="586">
        <v>43198</v>
      </c>
    </row>
    <row r="103" spans="19:19" hidden="1">
      <c r="S103" s="586">
        <v>43199</v>
      </c>
    </row>
    <row r="104" spans="19:19" hidden="1">
      <c r="S104" s="586">
        <v>43200</v>
      </c>
    </row>
    <row r="105" spans="19:19" hidden="1">
      <c r="S105" s="586">
        <v>43201</v>
      </c>
    </row>
    <row r="106" spans="19:19" hidden="1">
      <c r="S106" s="586">
        <v>43202</v>
      </c>
    </row>
    <row r="107" spans="19:19" hidden="1">
      <c r="S107" s="586">
        <v>43203</v>
      </c>
    </row>
    <row r="108" spans="19:19" hidden="1">
      <c r="S108" s="586">
        <v>43204</v>
      </c>
    </row>
    <row r="109" spans="19:19" hidden="1">
      <c r="S109" s="586">
        <v>43205</v>
      </c>
    </row>
    <row r="110" spans="19:19" hidden="1">
      <c r="S110" s="586">
        <v>43206</v>
      </c>
    </row>
    <row r="111" spans="19:19" hidden="1">
      <c r="S111" s="586">
        <v>43207</v>
      </c>
    </row>
    <row r="112" spans="19:19" hidden="1">
      <c r="S112" s="586">
        <v>43208</v>
      </c>
    </row>
    <row r="113" spans="19:19" hidden="1">
      <c r="S113" s="586">
        <v>43209</v>
      </c>
    </row>
    <row r="114" spans="19:19" hidden="1">
      <c r="S114" s="586">
        <v>43210</v>
      </c>
    </row>
    <row r="115" spans="19:19" hidden="1">
      <c r="S115" s="586">
        <v>43211</v>
      </c>
    </row>
    <row r="116" spans="19:19" hidden="1">
      <c r="S116" s="586">
        <v>43212</v>
      </c>
    </row>
    <row r="117" spans="19:19" hidden="1">
      <c r="S117" s="586">
        <v>43213</v>
      </c>
    </row>
    <row r="118" spans="19:19" hidden="1">
      <c r="S118" s="586">
        <v>43214</v>
      </c>
    </row>
    <row r="119" spans="19:19" hidden="1">
      <c r="S119" s="586">
        <v>43215</v>
      </c>
    </row>
    <row r="120" spans="19:19" hidden="1">
      <c r="S120" s="586">
        <v>43216</v>
      </c>
    </row>
    <row r="121" spans="19:19" hidden="1">
      <c r="S121" s="586">
        <v>43217</v>
      </c>
    </row>
    <row r="122" spans="19:19" hidden="1">
      <c r="S122" s="586">
        <v>43218</v>
      </c>
    </row>
    <row r="123" spans="19:19" hidden="1">
      <c r="S123" s="586">
        <v>43219</v>
      </c>
    </row>
    <row r="124" spans="19:19" hidden="1">
      <c r="S124" s="586">
        <v>43220</v>
      </c>
    </row>
    <row r="125" spans="19:19" hidden="1">
      <c r="S125" s="586">
        <v>43221</v>
      </c>
    </row>
    <row r="126" spans="19:19" hidden="1">
      <c r="S126" s="586">
        <v>43222</v>
      </c>
    </row>
    <row r="127" spans="19:19" hidden="1">
      <c r="S127" s="586">
        <v>43223</v>
      </c>
    </row>
    <row r="128" spans="19:19" hidden="1">
      <c r="S128" s="586">
        <v>43224</v>
      </c>
    </row>
    <row r="129" spans="19:19" hidden="1">
      <c r="S129" s="586">
        <v>43225</v>
      </c>
    </row>
    <row r="130" spans="19:19" hidden="1">
      <c r="S130" s="586">
        <v>43226</v>
      </c>
    </row>
    <row r="131" spans="19:19" hidden="1">
      <c r="S131" s="586">
        <v>43227</v>
      </c>
    </row>
    <row r="132" spans="19:19" hidden="1">
      <c r="S132" s="586">
        <v>43228</v>
      </c>
    </row>
    <row r="133" spans="19:19" hidden="1">
      <c r="S133" s="586">
        <v>43229</v>
      </c>
    </row>
    <row r="134" spans="19:19" hidden="1">
      <c r="S134" s="586">
        <v>43230</v>
      </c>
    </row>
    <row r="135" spans="19:19" hidden="1">
      <c r="S135" s="586">
        <v>43231</v>
      </c>
    </row>
    <row r="136" spans="19:19" hidden="1">
      <c r="S136" s="586">
        <v>43232</v>
      </c>
    </row>
    <row r="137" spans="19:19" hidden="1">
      <c r="S137" s="586">
        <v>43233</v>
      </c>
    </row>
    <row r="138" spans="19:19" hidden="1">
      <c r="S138" s="586">
        <v>43234</v>
      </c>
    </row>
    <row r="139" spans="19:19" hidden="1">
      <c r="S139" s="586">
        <v>43235</v>
      </c>
    </row>
    <row r="140" spans="19:19" hidden="1">
      <c r="S140" s="586">
        <v>43236</v>
      </c>
    </row>
    <row r="141" spans="19:19" hidden="1">
      <c r="S141" s="586">
        <v>43237</v>
      </c>
    </row>
    <row r="142" spans="19:19" hidden="1">
      <c r="S142" s="586">
        <v>43238</v>
      </c>
    </row>
    <row r="143" spans="19:19" hidden="1">
      <c r="S143" s="586">
        <v>43239</v>
      </c>
    </row>
    <row r="144" spans="19:19" hidden="1">
      <c r="S144" s="586">
        <v>43240</v>
      </c>
    </row>
    <row r="145" spans="19:19" hidden="1">
      <c r="S145" s="586">
        <v>43241</v>
      </c>
    </row>
    <row r="146" spans="19:19" hidden="1">
      <c r="S146" s="586">
        <v>43242</v>
      </c>
    </row>
    <row r="147" spans="19:19" hidden="1">
      <c r="S147" s="586">
        <v>43243</v>
      </c>
    </row>
    <row r="148" spans="19:19" hidden="1">
      <c r="S148" s="586">
        <v>43244</v>
      </c>
    </row>
    <row r="149" spans="19:19" hidden="1">
      <c r="S149" s="586">
        <v>43245</v>
      </c>
    </row>
    <row r="150" spans="19:19" hidden="1">
      <c r="S150" s="586">
        <v>43246</v>
      </c>
    </row>
    <row r="151" spans="19:19" hidden="1">
      <c r="S151" s="586">
        <v>43247</v>
      </c>
    </row>
    <row r="152" spans="19:19" hidden="1">
      <c r="S152" s="586">
        <v>43248</v>
      </c>
    </row>
    <row r="153" spans="19:19" hidden="1">
      <c r="S153" s="586">
        <v>43249</v>
      </c>
    </row>
    <row r="154" spans="19:19" hidden="1">
      <c r="S154" s="586">
        <v>43250</v>
      </c>
    </row>
    <row r="155" spans="19:19" hidden="1">
      <c r="S155" s="586">
        <v>43251</v>
      </c>
    </row>
    <row r="156" spans="19:19" hidden="1">
      <c r="S156" s="586">
        <v>43252</v>
      </c>
    </row>
    <row r="157" spans="19:19" hidden="1">
      <c r="S157" s="586">
        <v>43253</v>
      </c>
    </row>
    <row r="158" spans="19:19" hidden="1">
      <c r="S158" s="586">
        <v>43254</v>
      </c>
    </row>
    <row r="159" spans="19:19" hidden="1">
      <c r="S159" s="586">
        <v>43255</v>
      </c>
    </row>
    <row r="160" spans="19:19" hidden="1">
      <c r="S160" s="586">
        <v>43256</v>
      </c>
    </row>
    <row r="161" spans="19:19" hidden="1">
      <c r="S161" s="586">
        <v>43257</v>
      </c>
    </row>
    <row r="162" spans="19:19" hidden="1">
      <c r="S162" s="586">
        <v>43258</v>
      </c>
    </row>
    <row r="163" spans="19:19" hidden="1">
      <c r="S163" s="586">
        <v>43259</v>
      </c>
    </row>
    <row r="164" spans="19:19" hidden="1">
      <c r="S164" s="586">
        <v>43260</v>
      </c>
    </row>
    <row r="165" spans="19:19" hidden="1">
      <c r="S165" s="586">
        <v>43261</v>
      </c>
    </row>
    <row r="166" spans="19:19" hidden="1">
      <c r="S166" s="586">
        <v>43262</v>
      </c>
    </row>
    <row r="167" spans="19:19" hidden="1">
      <c r="S167" s="586">
        <v>43263</v>
      </c>
    </row>
    <row r="168" spans="19:19" hidden="1">
      <c r="S168" s="586">
        <v>43264</v>
      </c>
    </row>
    <row r="169" spans="19:19" hidden="1">
      <c r="S169" s="586">
        <v>43265</v>
      </c>
    </row>
    <row r="170" spans="19:19" hidden="1">
      <c r="S170" s="586">
        <v>43266</v>
      </c>
    </row>
    <row r="171" spans="19:19" hidden="1">
      <c r="S171" s="586">
        <v>43267</v>
      </c>
    </row>
    <row r="172" spans="19:19" hidden="1">
      <c r="S172" s="586">
        <v>43268</v>
      </c>
    </row>
    <row r="173" spans="19:19" hidden="1">
      <c r="S173" s="586">
        <v>43269</v>
      </c>
    </row>
    <row r="174" spans="19:19" hidden="1">
      <c r="S174" s="586">
        <v>43270</v>
      </c>
    </row>
    <row r="175" spans="19:19" hidden="1">
      <c r="S175" s="586">
        <v>43271</v>
      </c>
    </row>
    <row r="176" spans="19:19" hidden="1">
      <c r="S176" s="586">
        <v>43272</v>
      </c>
    </row>
    <row r="177" spans="19:19" hidden="1">
      <c r="S177" s="586">
        <v>43273</v>
      </c>
    </row>
    <row r="178" spans="19:19" hidden="1">
      <c r="S178" s="586">
        <v>43274</v>
      </c>
    </row>
    <row r="179" spans="19:19" hidden="1">
      <c r="S179" s="586">
        <v>43275</v>
      </c>
    </row>
    <row r="180" spans="19:19" hidden="1">
      <c r="S180" s="586">
        <v>43276</v>
      </c>
    </row>
    <row r="181" spans="19:19" hidden="1">
      <c r="S181" s="586">
        <v>43277</v>
      </c>
    </row>
    <row r="182" spans="19:19" hidden="1">
      <c r="S182" s="586">
        <v>43278</v>
      </c>
    </row>
    <row r="183" spans="19:19" hidden="1">
      <c r="S183" s="586">
        <v>43279</v>
      </c>
    </row>
    <row r="184" spans="19:19" hidden="1">
      <c r="S184" s="586">
        <v>43280</v>
      </c>
    </row>
    <row r="185" spans="19:19" hidden="1">
      <c r="S185" s="586">
        <v>43281</v>
      </c>
    </row>
    <row r="186" spans="19:19" hidden="1">
      <c r="S186" s="586">
        <v>43282</v>
      </c>
    </row>
    <row r="187" spans="19:19" hidden="1">
      <c r="S187" s="586">
        <v>43283</v>
      </c>
    </row>
    <row r="188" spans="19:19" hidden="1">
      <c r="S188" s="586">
        <v>43284</v>
      </c>
    </row>
    <row r="189" spans="19:19" hidden="1">
      <c r="S189" s="586">
        <v>43285</v>
      </c>
    </row>
    <row r="190" spans="19:19" hidden="1">
      <c r="S190" s="586">
        <v>43286</v>
      </c>
    </row>
    <row r="191" spans="19:19" hidden="1">
      <c r="S191" s="586">
        <v>43287</v>
      </c>
    </row>
    <row r="192" spans="19:19" hidden="1">
      <c r="S192" s="586">
        <v>43288</v>
      </c>
    </row>
    <row r="193" spans="19:19" hidden="1">
      <c r="S193" s="586">
        <v>43289</v>
      </c>
    </row>
    <row r="194" spans="19:19" hidden="1">
      <c r="S194" s="586">
        <v>43290</v>
      </c>
    </row>
    <row r="195" spans="19:19" hidden="1">
      <c r="S195" s="586">
        <v>43291</v>
      </c>
    </row>
    <row r="196" spans="19:19" hidden="1">
      <c r="S196" s="586">
        <v>43292</v>
      </c>
    </row>
    <row r="197" spans="19:19" hidden="1">
      <c r="S197" s="586">
        <v>43293</v>
      </c>
    </row>
    <row r="198" spans="19:19" hidden="1">
      <c r="S198" s="586">
        <v>43294</v>
      </c>
    </row>
    <row r="199" spans="19:19" hidden="1">
      <c r="S199" s="586">
        <v>43295</v>
      </c>
    </row>
    <row r="200" spans="19:19" hidden="1">
      <c r="S200" s="586">
        <v>43296</v>
      </c>
    </row>
    <row r="201" spans="19:19" hidden="1">
      <c r="S201" s="586">
        <v>43297</v>
      </c>
    </row>
    <row r="202" spans="19:19" hidden="1">
      <c r="S202" s="586">
        <v>43298</v>
      </c>
    </row>
    <row r="203" spans="19:19" hidden="1">
      <c r="S203" s="586">
        <v>43299</v>
      </c>
    </row>
    <row r="204" spans="19:19" hidden="1">
      <c r="S204" s="586">
        <v>43300</v>
      </c>
    </row>
    <row r="205" spans="19:19" hidden="1">
      <c r="S205" s="586">
        <v>43301</v>
      </c>
    </row>
    <row r="206" spans="19:19" hidden="1">
      <c r="S206" s="586">
        <v>43302</v>
      </c>
    </row>
    <row r="207" spans="19:19" hidden="1">
      <c r="S207" s="586">
        <v>43303</v>
      </c>
    </row>
    <row r="208" spans="19:19" hidden="1">
      <c r="S208" s="586">
        <v>43304</v>
      </c>
    </row>
    <row r="209" spans="19:19" hidden="1">
      <c r="S209" s="586">
        <v>43305</v>
      </c>
    </row>
    <row r="210" spans="19:19" hidden="1">
      <c r="S210" s="586">
        <v>43306</v>
      </c>
    </row>
    <row r="211" spans="19:19" hidden="1">
      <c r="S211" s="586">
        <v>43307</v>
      </c>
    </row>
    <row r="212" spans="19:19" hidden="1">
      <c r="S212" s="586">
        <v>43308</v>
      </c>
    </row>
    <row r="213" spans="19:19" hidden="1">
      <c r="S213" s="586">
        <v>43309</v>
      </c>
    </row>
    <row r="214" spans="19:19" hidden="1">
      <c r="S214" s="586">
        <v>43310</v>
      </c>
    </row>
    <row r="215" spans="19:19" hidden="1">
      <c r="S215" s="586">
        <v>43311</v>
      </c>
    </row>
    <row r="216" spans="19:19" hidden="1">
      <c r="S216" s="586">
        <v>43312</v>
      </c>
    </row>
    <row r="217" spans="19:19" hidden="1">
      <c r="S217" s="586">
        <v>43313</v>
      </c>
    </row>
    <row r="218" spans="19:19" hidden="1">
      <c r="S218" s="586">
        <v>43314</v>
      </c>
    </row>
    <row r="219" spans="19:19" hidden="1">
      <c r="S219" s="586">
        <v>43315</v>
      </c>
    </row>
    <row r="220" spans="19:19" hidden="1">
      <c r="S220" s="586">
        <v>43316</v>
      </c>
    </row>
    <row r="221" spans="19:19" hidden="1">
      <c r="S221" s="586">
        <v>43317</v>
      </c>
    </row>
    <row r="222" spans="19:19" hidden="1">
      <c r="S222" s="586">
        <v>43318</v>
      </c>
    </row>
    <row r="223" spans="19:19" hidden="1">
      <c r="S223" s="586">
        <v>43319</v>
      </c>
    </row>
    <row r="224" spans="19:19" hidden="1">
      <c r="S224" s="586">
        <v>43320</v>
      </c>
    </row>
    <row r="225" spans="19:19" hidden="1">
      <c r="S225" s="586">
        <v>43321</v>
      </c>
    </row>
    <row r="226" spans="19:19" hidden="1">
      <c r="S226" s="586">
        <v>43322</v>
      </c>
    </row>
    <row r="227" spans="19:19" hidden="1">
      <c r="S227" s="586">
        <v>43323</v>
      </c>
    </row>
    <row r="228" spans="19:19" hidden="1">
      <c r="S228" s="586">
        <v>43324</v>
      </c>
    </row>
    <row r="229" spans="19:19" hidden="1">
      <c r="S229" s="586">
        <v>43325</v>
      </c>
    </row>
    <row r="230" spans="19:19" hidden="1">
      <c r="S230" s="586">
        <v>43326</v>
      </c>
    </row>
    <row r="231" spans="19:19" hidden="1">
      <c r="S231" s="586">
        <v>43327</v>
      </c>
    </row>
    <row r="232" spans="19:19" hidden="1">
      <c r="S232" s="586">
        <v>43328</v>
      </c>
    </row>
    <row r="233" spans="19:19" hidden="1">
      <c r="S233" s="586">
        <v>43329</v>
      </c>
    </row>
    <row r="234" spans="19:19" hidden="1">
      <c r="S234" s="586">
        <v>43330</v>
      </c>
    </row>
    <row r="235" spans="19:19" hidden="1">
      <c r="S235" s="586">
        <v>43331</v>
      </c>
    </row>
    <row r="236" spans="19:19" hidden="1">
      <c r="S236" s="586">
        <v>43332</v>
      </c>
    </row>
    <row r="237" spans="19:19" hidden="1">
      <c r="S237" s="586">
        <v>43333</v>
      </c>
    </row>
    <row r="238" spans="19:19" hidden="1">
      <c r="S238" s="586">
        <v>43334</v>
      </c>
    </row>
    <row r="239" spans="19:19" hidden="1">
      <c r="S239" s="586">
        <v>43335</v>
      </c>
    </row>
    <row r="240" spans="19:19" hidden="1">
      <c r="S240" s="586">
        <v>43336</v>
      </c>
    </row>
    <row r="241" spans="19:19" hidden="1">
      <c r="S241" s="586">
        <v>43337</v>
      </c>
    </row>
    <row r="242" spans="19:19" hidden="1">
      <c r="S242" s="586">
        <v>43338</v>
      </c>
    </row>
    <row r="243" spans="19:19" hidden="1">
      <c r="S243" s="586">
        <v>43339</v>
      </c>
    </row>
    <row r="244" spans="19:19" hidden="1">
      <c r="S244" s="586">
        <v>43340</v>
      </c>
    </row>
    <row r="245" spans="19:19" hidden="1">
      <c r="S245" s="586">
        <v>43341</v>
      </c>
    </row>
    <row r="246" spans="19:19" hidden="1">
      <c r="S246" s="586">
        <v>43342</v>
      </c>
    </row>
    <row r="247" spans="19:19" hidden="1">
      <c r="S247" s="586">
        <v>43343</v>
      </c>
    </row>
    <row r="248" spans="19:19" hidden="1">
      <c r="S248" s="586">
        <v>43344</v>
      </c>
    </row>
    <row r="249" spans="19:19" hidden="1">
      <c r="S249" s="586">
        <v>43345</v>
      </c>
    </row>
    <row r="250" spans="19:19" hidden="1">
      <c r="S250" s="586">
        <v>43346</v>
      </c>
    </row>
    <row r="251" spans="19:19" hidden="1">
      <c r="S251" s="586">
        <v>43347</v>
      </c>
    </row>
    <row r="252" spans="19:19" hidden="1">
      <c r="S252" s="586">
        <v>43348</v>
      </c>
    </row>
    <row r="253" spans="19:19" hidden="1">
      <c r="S253" s="586">
        <v>43349</v>
      </c>
    </row>
    <row r="254" spans="19:19" hidden="1">
      <c r="S254" s="586">
        <v>43350</v>
      </c>
    </row>
    <row r="255" spans="19:19" hidden="1">
      <c r="S255" s="586">
        <v>43351</v>
      </c>
    </row>
    <row r="256" spans="19:19" hidden="1">
      <c r="S256" s="586">
        <v>43352</v>
      </c>
    </row>
    <row r="257" spans="19:19" hidden="1">
      <c r="S257" s="586">
        <v>43353</v>
      </c>
    </row>
    <row r="258" spans="19:19" hidden="1">
      <c r="S258" s="586">
        <v>43354</v>
      </c>
    </row>
    <row r="259" spans="19:19" hidden="1">
      <c r="S259" s="586">
        <v>43355</v>
      </c>
    </row>
    <row r="260" spans="19:19" hidden="1">
      <c r="S260" s="586">
        <v>43356</v>
      </c>
    </row>
    <row r="261" spans="19:19" hidden="1">
      <c r="S261" s="586">
        <v>43357</v>
      </c>
    </row>
    <row r="262" spans="19:19" hidden="1">
      <c r="S262" s="586">
        <v>43358</v>
      </c>
    </row>
    <row r="263" spans="19:19" hidden="1">
      <c r="S263" s="586">
        <v>43359</v>
      </c>
    </row>
    <row r="264" spans="19:19" hidden="1">
      <c r="S264" s="586">
        <v>43360</v>
      </c>
    </row>
    <row r="265" spans="19:19" hidden="1">
      <c r="S265" s="586">
        <v>43361</v>
      </c>
    </row>
    <row r="266" spans="19:19" hidden="1">
      <c r="S266" s="586">
        <v>43362</v>
      </c>
    </row>
    <row r="267" spans="19:19" hidden="1">
      <c r="S267" s="586">
        <v>43363</v>
      </c>
    </row>
    <row r="268" spans="19:19" hidden="1">
      <c r="S268" s="586">
        <v>43364</v>
      </c>
    </row>
    <row r="269" spans="19:19" hidden="1">
      <c r="S269" s="586">
        <v>43365</v>
      </c>
    </row>
    <row r="270" spans="19:19" hidden="1">
      <c r="S270" s="586">
        <v>43366</v>
      </c>
    </row>
    <row r="271" spans="19:19" hidden="1">
      <c r="S271" s="586">
        <v>43367</v>
      </c>
    </row>
    <row r="272" spans="19:19" hidden="1">
      <c r="S272" s="586">
        <v>43368</v>
      </c>
    </row>
    <row r="273" spans="19:19" hidden="1">
      <c r="S273" s="586">
        <v>43369</v>
      </c>
    </row>
    <row r="274" spans="19:19" hidden="1">
      <c r="S274" s="586">
        <v>43370</v>
      </c>
    </row>
    <row r="275" spans="19:19" hidden="1">
      <c r="S275" s="586">
        <v>43371</v>
      </c>
    </row>
    <row r="276" spans="19:19" hidden="1">
      <c r="S276" s="586">
        <v>43372</v>
      </c>
    </row>
    <row r="277" spans="19:19" hidden="1">
      <c r="S277" s="586">
        <v>43373</v>
      </c>
    </row>
    <row r="278" spans="19:19" hidden="1">
      <c r="S278" s="586">
        <v>43374</v>
      </c>
    </row>
    <row r="279" spans="19:19" hidden="1">
      <c r="S279" s="586">
        <v>43375</v>
      </c>
    </row>
    <row r="280" spans="19:19" hidden="1">
      <c r="S280" s="586">
        <v>43376</v>
      </c>
    </row>
    <row r="281" spans="19:19" hidden="1">
      <c r="S281" s="586">
        <v>43377</v>
      </c>
    </row>
    <row r="282" spans="19:19" hidden="1">
      <c r="S282" s="586">
        <v>43378</v>
      </c>
    </row>
    <row r="283" spans="19:19" hidden="1">
      <c r="S283" s="586">
        <v>43379</v>
      </c>
    </row>
    <row r="284" spans="19:19" hidden="1">
      <c r="S284" s="586">
        <v>43380</v>
      </c>
    </row>
    <row r="285" spans="19:19" hidden="1">
      <c r="S285" s="586">
        <v>43381</v>
      </c>
    </row>
    <row r="286" spans="19:19" hidden="1">
      <c r="S286" s="586">
        <v>43382</v>
      </c>
    </row>
    <row r="287" spans="19:19" hidden="1">
      <c r="S287" s="586">
        <v>43383</v>
      </c>
    </row>
    <row r="288" spans="19:19" hidden="1">
      <c r="S288" s="586">
        <v>43384</v>
      </c>
    </row>
    <row r="289" spans="19:19" hidden="1">
      <c r="S289" s="586">
        <v>43385</v>
      </c>
    </row>
    <row r="290" spans="19:19" hidden="1">
      <c r="S290" s="586">
        <v>43386</v>
      </c>
    </row>
    <row r="291" spans="19:19" hidden="1">
      <c r="S291" s="586">
        <v>43387</v>
      </c>
    </row>
    <row r="292" spans="19:19" hidden="1">
      <c r="S292" s="586">
        <v>43388</v>
      </c>
    </row>
    <row r="293" spans="19:19" hidden="1">
      <c r="S293" s="586">
        <v>43389</v>
      </c>
    </row>
    <row r="294" spans="19:19" hidden="1">
      <c r="S294" s="586">
        <v>43390</v>
      </c>
    </row>
    <row r="295" spans="19:19" hidden="1">
      <c r="S295" s="586">
        <v>43391</v>
      </c>
    </row>
    <row r="296" spans="19:19" hidden="1">
      <c r="S296" s="586">
        <v>43392</v>
      </c>
    </row>
    <row r="297" spans="19:19" hidden="1">
      <c r="S297" s="586">
        <v>43393</v>
      </c>
    </row>
    <row r="298" spans="19:19" hidden="1">
      <c r="S298" s="586">
        <v>43394</v>
      </c>
    </row>
    <row r="299" spans="19:19" hidden="1">
      <c r="S299" s="586">
        <v>43395</v>
      </c>
    </row>
    <row r="300" spans="19:19" hidden="1">
      <c r="S300" s="586">
        <v>43396</v>
      </c>
    </row>
    <row r="301" spans="19:19" hidden="1">
      <c r="S301" s="586">
        <v>43397</v>
      </c>
    </row>
    <row r="302" spans="19:19" hidden="1">
      <c r="S302" s="586">
        <v>43398</v>
      </c>
    </row>
    <row r="303" spans="19:19" hidden="1">
      <c r="S303" s="586">
        <v>43399</v>
      </c>
    </row>
    <row r="304" spans="19:19" hidden="1">
      <c r="S304" s="586">
        <v>43400</v>
      </c>
    </row>
    <row r="305" spans="19:19" hidden="1">
      <c r="S305" s="586">
        <v>43401</v>
      </c>
    </row>
    <row r="306" spans="19:19" hidden="1">
      <c r="S306" s="586">
        <v>43402</v>
      </c>
    </row>
    <row r="307" spans="19:19" hidden="1">
      <c r="S307" s="586">
        <v>43403</v>
      </c>
    </row>
    <row r="308" spans="19:19" hidden="1">
      <c r="S308" s="586">
        <v>43404</v>
      </c>
    </row>
    <row r="309" spans="19:19" hidden="1">
      <c r="S309" s="586">
        <v>43405</v>
      </c>
    </row>
    <row r="310" spans="19:19" hidden="1">
      <c r="S310" s="586">
        <v>43406</v>
      </c>
    </row>
    <row r="311" spans="19:19" hidden="1">
      <c r="S311" s="586">
        <v>43407</v>
      </c>
    </row>
    <row r="312" spans="19:19" hidden="1">
      <c r="S312" s="586">
        <v>43408</v>
      </c>
    </row>
    <row r="313" spans="19:19" hidden="1">
      <c r="S313" s="586">
        <v>43409</v>
      </c>
    </row>
    <row r="314" spans="19:19" hidden="1">
      <c r="S314" s="586">
        <v>43410</v>
      </c>
    </row>
    <row r="315" spans="19:19" hidden="1">
      <c r="S315" s="586">
        <v>43411</v>
      </c>
    </row>
    <row r="316" spans="19:19" hidden="1">
      <c r="S316" s="586">
        <v>43412</v>
      </c>
    </row>
    <row r="317" spans="19:19" hidden="1">
      <c r="S317" s="586">
        <v>43413</v>
      </c>
    </row>
    <row r="318" spans="19:19" hidden="1">
      <c r="S318" s="586">
        <v>43414</v>
      </c>
    </row>
    <row r="319" spans="19:19" hidden="1">
      <c r="S319" s="586">
        <v>43415</v>
      </c>
    </row>
    <row r="320" spans="19:19" hidden="1">
      <c r="S320" s="586">
        <v>43416</v>
      </c>
    </row>
    <row r="321" spans="19:19" hidden="1">
      <c r="S321" s="586">
        <v>43417</v>
      </c>
    </row>
    <row r="322" spans="19:19" hidden="1">
      <c r="S322" s="586">
        <v>43418</v>
      </c>
    </row>
    <row r="323" spans="19:19" hidden="1">
      <c r="S323" s="586">
        <v>43419</v>
      </c>
    </row>
    <row r="324" spans="19:19" hidden="1">
      <c r="S324" s="586">
        <v>43420</v>
      </c>
    </row>
    <row r="325" spans="19:19" hidden="1">
      <c r="S325" s="586">
        <v>43421</v>
      </c>
    </row>
    <row r="326" spans="19:19" hidden="1">
      <c r="S326" s="586">
        <v>43422</v>
      </c>
    </row>
    <row r="327" spans="19:19" hidden="1">
      <c r="S327" s="586">
        <v>43423</v>
      </c>
    </row>
    <row r="328" spans="19:19" hidden="1">
      <c r="S328" s="586">
        <v>43424</v>
      </c>
    </row>
    <row r="329" spans="19:19" hidden="1">
      <c r="S329" s="586">
        <v>43425</v>
      </c>
    </row>
    <row r="330" spans="19:19" hidden="1">
      <c r="S330" s="586">
        <v>43426</v>
      </c>
    </row>
    <row r="331" spans="19:19" hidden="1">
      <c r="S331" s="586">
        <v>43427</v>
      </c>
    </row>
    <row r="332" spans="19:19" hidden="1">
      <c r="S332" s="586">
        <v>43428</v>
      </c>
    </row>
    <row r="333" spans="19:19" hidden="1">
      <c r="S333" s="586">
        <v>43429</v>
      </c>
    </row>
    <row r="334" spans="19:19" hidden="1">
      <c r="S334" s="586">
        <v>43430</v>
      </c>
    </row>
    <row r="335" spans="19:19" hidden="1">
      <c r="S335" s="586">
        <v>43431</v>
      </c>
    </row>
    <row r="336" spans="19:19" hidden="1">
      <c r="S336" s="586">
        <v>43432</v>
      </c>
    </row>
    <row r="337" spans="19:19" hidden="1">
      <c r="S337" s="586">
        <v>43433</v>
      </c>
    </row>
    <row r="338" spans="19:19" hidden="1">
      <c r="S338" s="586">
        <v>43434</v>
      </c>
    </row>
    <row r="339" spans="19:19" hidden="1">
      <c r="S339" s="586">
        <v>43435</v>
      </c>
    </row>
    <row r="340" spans="19:19" hidden="1">
      <c r="S340" s="586">
        <v>43436</v>
      </c>
    </row>
    <row r="341" spans="19:19" hidden="1">
      <c r="S341" s="586">
        <v>43437</v>
      </c>
    </row>
    <row r="342" spans="19:19" hidden="1">
      <c r="S342" s="586">
        <v>43438</v>
      </c>
    </row>
    <row r="343" spans="19:19" hidden="1">
      <c r="S343" s="586">
        <v>43439</v>
      </c>
    </row>
    <row r="344" spans="19:19" hidden="1">
      <c r="S344" s="586">
        <v>43440</v>
      </c>
    </row>
    <row r="345" spans="19:19" hidden="1">
      <c r="S345" s="586">
        <v>43441</v>
      </c>
    </row>
    <row r="346" spans="19:19" hidden="1">
      <c r="S346" s="586">
        <v>43442</v>
      </c>
    </row>
    <row r="347" spans="19:19" hidden="1">
      <c r="S347" s="586">
        <v>43443</v>
      </c>
    </row>
    <row r="348" spans="19:19" hidden="1">
      <c r="S348" s="586">
        <v>43444</v>
      </c>
    </row>
    <row r="349" spans="19:19" hidden="1">
      <c r="S349" s="586">
        <v>43445</v>
      </c>
    </row>
    <row r="350" spans="19:19" hidden="1">
      <c r="S350" s="586">
        <v>43446</v>
      </c>
    </row>
    <row r="351" spans="19:19" hidden="1">
      <c r="S351" s="586">
        <v>43447</v>
      </c>
    </row>
    <row r="352" spans="19:19" hidden="1">
      <c r="S352" s="586">
        <v>43448</v>
      </c>
    </row>
    <row r="353" spans="19:19" hidden="1">
      <c r="S353" s="586">
        <v>43449</v>
      </c>
    </row>
    <row r="354" spans="19:19" hidden="1">
      <c r="S354" s="586">
        <v>43450</v>
      </c>
    </row>
    <row r="355" spans="19:19" hidden="1">
      <c r="S355" s="586">
        <v>43451</v>
      </c>
    </row>
    <row r="356" spans="19:19" hidden="1">
      <c r="S356" s="586">
        <v>43452</v>
      </c>
    </row>
    <row r="357" spans="19:19" hidden="1">
      <c r="S357" s="586">
        <v>43453</v>
      </c>
    </row>
    <row r="358" spans="19:19" hidden="1">
      <c r="S358" s="586">
        <v>43454</v>
      </c>
    </row>
    <row r="359" spans="19:19" hidden="1">
      <c r="S359" s="586">
        <v>43455</v>
      </c>
    </row>
    <row r="360" spans="19:19" hidden="1">
      <c r="S360" s="586">
        <v>43456</v>
      </c>
    </row>
    <row r="361" spans="19:19" hidden="1">
      <c r="S361" s="586">
        <v>43457</v>
      </c>
    </row>
    <row r="362" spans="19:19" hidden="1">
      <c r="S362" s="586">
        <v>43458</v>
      </c>
    </row>
    <row r="363" spans="19:19" hidden="1">
      <c r="S363" s="586">
        <v>43459</v>
      </c>
    </row>
    <row r="364" spans="19:19" hidden="1">
      <c r="S364" s="586">
        <v>43460</v>
      </c>
    </row>
    <row r="365" spans="19:19" hidden="1">
      <c r="S365" s="586">
        <v>43461</v>
      </c>
    </row>
    <row r="366" spans="19:19" hidden="1">
      <c r="S366" s="586">
        <v>43462</v>
      </c>
    </row>
    <row r="367" spans="19:19" hidden="1">
      <c r="S367" s="586">
        <v>43463</v>
      </c>
    </row>
    <row r="368" spans="19:19" hidden="1">
      <c r="S368" s="586">
        <v>43464</v>
      </c>
    </row>
    <row r="369" spans="19:19" hidden="1">
      <c r="S369" s="586">
        <v>43465</v>
      </c>
    </row>
  </sheetData>
  <sheetProtection algorithmName="SHA-512" hashValue="1D1N5XR2wu2gzhjZ9d2q/J9awW32Gyz4MjzEFPhFPyi9QX+hOIyJpd7ZJsFbJteFqjMK98cNh1TcBYfzRC04qA==" saltValue="KP84sWfR9XNLgtWj519RDQ==" spinCount="100000" sheet="1" objects="1" scenarios="1"/>
  <mergeCells count="3">
    <mergeCell ref="G5:M5"/>
    <mergeCell ref="H3:I3"/>
    <mergeCell ref="H38:L39"/>
  </mergeCells>
  <dataValidations count="2">
    <dataValidation type="list" allowBlank="1" showInputMessage="1" showErrorMessage="1" sqref="K19:K28 I30:J30" xr:uid="{00000000-0002-0000-0000-000000000000}">
      <formula1>$S$14:$S$15</formula1>
    </dataValidation>
    <dataValidation type="list" allowBlank="1" showInputMessage="1" showErrorMessage="1" sqref="I7:I8" xr:uid="{E4A9D273-51A2-4017-9DAE-3F153B13BEB0}">
      <formula1>$S$5:$S$369</formula1>
    </dataValidation>
  </dataValidations>
  <printOptions horizontalCentered="1"/>
  <pageMargins left="0.23622047244094491" right="0.23622047244094491" top="0.74803149606299213" bottom="0.74803149606299213" header="0.31496062992125984" footer="0.31496062992125984"/>
  <pageSetup scale="85"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2:AA252"/>
  <sheetViews>
    <sheetView zoomScale="80" zoomScaleNormal="80" workbookViewId="0">
      <selection activeCell="C17" sqref="C17"/>
    </sheetView>
  </sheetViews>
  <sheetFormatPr baseColWidth="10" defaultColWidth="9.140625" defaultRowHeight="11.25"/>
  <cols>
    <col min="1" max="1" width="39.140625" style="194" bestFit="1" customWidth="1"/>
    <col min="2" max="2" width="17.28515625" style="194" bestFit="1" customWidth="1"/>
    <col min="3" max="3" width="25.42578125" style="194" customWidth="1"/>
    <col min="4" max="4" width="25.85546875" style="194" customWidth="1"/>
    <col min="5" max="5" width="23.7109375" style="194" customWidth="1"/>
    <col min="6" max="6" width="32.42578125" style="199" customWidth="1"/>
    <col min="7" max="7" width="22.85546875" style="199" customWidth="1"/>
    <col min="8" max="8" width="14.140625" style="291" bestFit="1" customWidth="1"/>
    <col min="9" max="9" width="16.140625" style="194" hidden="1" customWidth="1"/>
    <col min="10" max="10" width="11.5703125" style="194" hidden="1" customWidth="1"/>
    <col min="11" max="11" width="9.140625" style="194" hidden="1" customWidth="1"/>
    <col min="12" max="12" width="11.5703125" style="194" hidden="1" customWidth="1"/>
    <col min="13" max="13" width="20.140625" style="194" hidden="1" customWidth="1"/>
    <col min="14" max="22" width="9.140625" style="194" hidden="1" customWidth="1"/>
    <col min="23" max="23" width="4.42578125" style="194" customWidth="1"/>
    <col min="24" max="24" width="35.140625" style="194" customWidth="1"/>
    <col min="25" max="27" width="12.28515625" style="194" customWidth="1"/>
    <col min="28" max="16384" width="9.140625" style="194"/>
  </cols>
  <sheetData>
    <row r="2" spans="1:24" ht="18">
      <c r="A2" s="604" t="s">
        <v>89</v>
      </c>
      <c r="B2" s="605"/>
      <c r="C2" s="606"/>
      <c r="D2" s="198" t="s">
        <v>15</v>
      </c>
      <c r="E2" s="198"/>
    </row>
    <row r="3" spans="1:24" ht="6" customHeight="1"/>
    <row r="4" spans="1:24" ht="18">
      <c r="A4" s="200" t="s">
        <v>16</v>
      </c>
      <c r="B4" s="607" t="s">
        <v>229</v>
      </c>
      <c r="C4" s="608"/>
      <c r="D4" s="608"/>
      <c r="E4" s="382"/>
      <c r="F4" s="383"/>
    </row>
    <row r="5" spans="1:24" ht="4.5" customHeight="1">
      <c r="F5" s="194"/>
    </row>
    <row r="6" spans="1:24">
      <c r="A6" s="381" t="s">
        <v>219</v>
      </c>
      <c r="B6" s="465">
        <v>43328</v>
      </c>
      <c r="C6" s="452" t="s">
        <v>17</v>
      </c>
      <c r="D6" s="453">
        <v>5.0000000000000001E-4</v>
      </c>
      <c r="E6" s="451"/>
      <c r="F6" s="201" t="s">
        <v>163</v>
      </c>
      <c r="G6" s="202">
        <v>80.599999999999994</v>
      </c>
      <c r="J6" s="264"/>
    </row>
    <row r="7" spans="1:24">
      <c r="A7" s="381" t="s">
        <v>156</v>
      </c>
      <c r="B7" s="465">
        <v>43343</v>
      </c>
      <c r="C7" s="203"/>
      <c r="D7" s="204" t="s">
        <v>215</v>
      </c>
      <c r="E7" s="464">
        <v>43101</v>
      </c>
      <c r="F7" s="201" t="s">
        <v>21</v>
      </c>
      <c r="G7" s="205">
        <f>IF(AND(B12="Toluca",B13="Operario"),13%,13%)</f>
        <v>0.13</v>
      </c>
    </row>
    <row r="8" spans="1:24">
      <c r="A8" s="407"/>
      <c r="B8" s="408"/>
      <c r="C8" s="291"/>
      <c r="D8" s="405"/>
      <c r="E8" s="406"/>
      <c r="F8" s="201" t="s">
        <v>228</v>
      </c>
      <c r="G8" s="202">
        <v>88.34</v>
      </c>
    </row>
    <row r="9" spans="1:24" ht="11.25" customHeight="1">
      <c r="E9" s="348"/>
    </row>
    <row r="10" spans="1:24">
      <c r="A10" s="209" t="s">
        <v>23</v>
      </c>
      <c r="B10" s="463" t="s">
        <v>237</v>
      </c>
      <c r="C10" s="395"/>
      <c r="D10" s="291"/>
      <c r="E10" s="394"/>
      <c r="F10" s="211"/>
      <c r="G10" s="211"/>
      <c r="O10" s="194">
        <v>0</v>
      </c>
      <c r="P10" s="194">
        <v>3.99</v>
      </c>
      <c r="Q10" s="194">
        <v>-1</v>
      </c>
    </row>
    <row r="11" spans="1:24">
      <c r="A11" s="209" t="s">
        <v>22</v>
      </c>
      <c r="B11" s="609" t="s">
        <v>238</v>
      </c>
      <c r="C11" s="610"/>
      <c r="D11" s="470"/>
      <c r="E11" s="470"/>
      <c r="F11" s="254"/>
      <c r="G11" s="254"/>
      <c r="H11" s="333"/>
      <c r="O11" s="194">
        <v>4</v>
      </c>
      <c r="P11" s="194">
        <v>7.99</v>
      </c>
      <c r="Q11" s="194">
        <v>-2</v>
      </c>
    </row>
    <row r="12" spans="1:24" hidden="1">
      <c r="A12" s="209" t="s">
        <v>5</v>
      </c>
      <c r="B12" s="213"/>
      <c r="C12" s="468" t="s">
        <v>7</v>
      </c>
      <c r="D12" s="470" t="s">
        <v>18</v>
      </c>
      <c r="E12" s="470"/>
      <c r="F12" s="254"/>
      <c r="G12" s="254"/>
      <c r="H12" s="332"/>
      <c r="O12" s="194">
        <v>8</v>
      </c>
      <c r="P12" s="194">
        <v>11.99</v>
      </c>
      <c r="Q12" s="194">
        <v>-3</v>
      </c>
    </row>
    <row r="13" spans="1:24" hidden="1">
      <c r="A13" s="209" t="s">
        <v>6</v>
      </c>
      <c r="B13" s="210"/>
      <c r="C13" s="469"/>
      <c r="D13" s="470"/>
      <c r="E13" s="470"/>
      <c r="F13" s="254"/>
      <c r="G13" s="254"/>
      <c r="H13" s="332"/>
      <c r="O13" s="194">
        <v>12</v>
      </c>
      <c r="P13" s="194">
        <v>15.99</v>
      </c>
      <c r="Q13" s="194">
        <v>-4</v>
      </c>
    </row>
    <row r="14" spans="1:24">
      <c r="A14" s="209" t="s">
        <v>137</v>
      </c>
      <c r="B14" s="343" t="str">
        <f>Formato!I30</f>
        <v>SI</v>
      </c>
      <c r="C14" s="214"/>
      <c r="D14" s="470"/>
      <c r="E14" s="470"/>
      <c r="F14" s="254"/>
      <c r="G14" s="254"/>
      <c r="H14" s="333"/>
      <c r="O14" s="194">
        <v>16</v>
      </c>
      <c r="P14" s="194">
        <v>19.989999999999998</v>
      </c>
      <c r="Q14" s="194">
        <v>-4</v>
      </c>
    </row>
    <row r="15" spans="1:24">
      <c r="A15" s="209" t="s">
        <v>24</v>
      </c>
      <c r="B15" s="462">
        <f>Formato!I7</f>
        <v>43419</v>
      </c>
      <c r="C15" s="228"/>
      <c r="D15" s="470"/>
      <c r="E15" s="470"/>
      <c r="F15" s="254"/>
      <c r="H15" s="426"/>
      <c r="W15" s="413"/>
      <c r="X15" s="413"/>
    </row>
    <row r="16" spans="1:24">
      <c r="A16" s="209" t="s">
        <v>111</v>
      </c>
      <c r="B16" s="462">
        <f>B15</f>
        <v>43419</v>
      </c>
      <c r="C16" s="277"/>
      <c r="D16" s="470"/>
      <c r="E16" s="470"/>
      <c r="F16" s="254"/>
      <c r="X16" s="413"/>
    </row>
    <row r="17" spans="1:24">
      <c r="A17" s="209" t="s">
        <v>25</v>
      </c>
      <c r="B17" s="471">
        <f>Formato!I8</f>
        <v>43465</v>
      </c>
      <c r="C17" s="473">
        <f>IF(IF(MONTH(B16)&gt;MONTH($B$6),DATE(YEAR($B$6)-1,MONTH(B16),DAY(B16)),DATE(YEAR($B$6),MONTH(B16),DAY(B16)))&gt;$B$6,IF(MONTH(B16)&gt;MONTH($B$6),DATE(YEAR($B$6)-1,MONTH(B16),DAY(B16)),DATE(YEAR($B$6)-1,MONTH(B16),DAY(B16))),IF(MONTH(B16)&gt;MONTH($B$6),DATE(YEAR($B$6)-1,MONTH(B16),DAY(B16)),DATE(YEAR($B$6),MONTH(B16),DAY(B16))))</f>
        <v>43054</v>
      </c>
      <c r="D17" s="470"/>
      <c r="E17" s="208"/>
      <c r="F17" s="254"/>
      <c r="G17" s="332"/>
    </row>
    <row r="18" spans="1:24" ht="12" thickBot="1">
      <c r="A18" s="209" t="s">
        <v>3</v>
      </c>
      <c r="B18" s="472">
        <f>+ROUND(((+B17-B16)/365),3)</f>
        <v>0.126</v>
      </c>
      <c r="C18" s="474">
        <f>ROUNDUP(B18,0)</f>
        <v>1</v>
      </c>
      <c r="D18" s="470"/>
      <c r="E18" s="291"/>
      <c r="F18" s="291"/>
      <c r="G18" s="332"/>
      <c r="X18" s="413"/>
    </row>
    <row r="19" spans="1:24" ht="12.75" thickBot="1">
      <c r="A19" s="209" t="s">
        <v>110</v>
      </c>
      <c r="B19" s="460">
        <f>Formato!I10</f>
        <v>10000</v>
      </c>
      <c r="C19" s="217"/>
      <c r="D19" s="212"/>
      <c r="E19" s="432">
        <f>G32</f>
        <v>6</v>
      </c>
      <c r="F19" s="396" t="s">
        <v>164</v>
      </c>
      <c r="G19" s="332"/>
      <c r="I19" s="218"/>
      <c r="O19" s="194">
        <v>36</v>
      </c>
      <c r="P19" s="194">
        <v>39.99</v>
      </c>
      <c r="Q19" s="194">
        <v>-12</v>
      </c>
    </row>
    <row r="20" spans="1:24" ht="12" thickBot="1">
      <c r="A20" s="209" t="s">
        <v>157</v>
      </c>
      <c r="B20" s="461">
        <f>B19/30</f>
        <v>333.33333333333331</v>
      </c>
      <c r="G20" s="332"/>
      <c r="O20" s="194">
        <v>40</v>
      </c>
      <c r="P20" s="194">
        <v>43.99</v>
      </c>
      <c r="Q20" s="194">
        <v>-13</v>
      </c>
    </row>
    <row r="21" spans="1:24" ht="12.75" thickBot="1">
      <c r="A21" s="209" t="s">
        <v>26</v>
      </c>
      <c r="B21" s="422">
        <v>835.75</v>
      </c>
      <c r="C21" s="392"/>
      <c r="D21" s="392"/>
      <c r="E21" s="389">
        <f>Formato!K17</f>
        <v>15</v>
      </c>
      <c r="F21" s="396" t="s">
        <v>124</v>
      </c>
      <c r="G21" s="309"/>
      <c r="H21" s="450"/>
      <c r="I21" s="391" t="s">
        <v>127</v>
      </c>
      <c r="J21" s="392"/>
      <c r="K21" s="392"/>
      <c r="L21" s="392"/>
      <c r="M21" s="392"/>
      <c r="N21" s="392"/>
      <c r="O21" s="392"/>
      <c r="P21" s="392"/>
      <c r="Q21" s="392"/>
      <c r="R21" s="392"/>
      <c r="S21" s="392"/>
      <c r="T21" s="392"/>
      <c r="U21" s="392"/>
      <c r="V21" s="392"/>
      <c r="W21" s="392"/>
    </row>
    <row r="22" spans="1:24" ht="12.75" thickBot="1">
      <c r="A22" s="209" t="s">
        <v>130</v>
      </c>
      <c r="B22" s="304">
        <f>+G22</f>
        <v>333.33333333333331</v>
      </c>
      <c r="C22" s="392"/>
      <c r="D22" s="392"/>
      <c r="E22" s="389">
        <v>0</v>
      </c>
      <c r="F22" s="396" t="s">
        <v>216</v>
      </c>
      <c r="G22" s="309">
        <f>+'S. Paquete T 2'!J8</f>
        <v>333.33333333333331</v>
      </c>
      <c r="H22" s="450">
        <f>+B22-G22</f>
        <v>0</v>
      </c>
      <c r="I22" s="391"/>
      <c r="J22" s="392"/>
      <c r="K22" s="392"/>
      <c r="L22" s="392">
        <f>IF(L33&gt;L30,0,L30-L33)</f>
        <v>0</v>
      </c>
      <c r="M22" s="392"/>
      <c r="N22" s="392"/>
      <c r="O22" s="392"/>
      <c r="P22" s="392"/>
      <c r="Q22" s="392"/>
      <c r="R22" s="392"/>
      <c r="S22" s="392"/>
      <c r="T22" s="392"/>
      <c r="U22" s="392"/>
      <c r="V22" s="392"/>
      <c r="W22" s="392" t="str">
        <f>+IF(H22&gt;0.1,"ERROR EN EL SUELDO PAQUETE","OK SUELDO PAQUETE")</f>
        <v>OK SUELDO PAQUETE</v>
      </c>
    </row>
    <row r="23" spans="1:24" ht="15.75" thickBot="1">
      <c r="A23" s="209" t="s">
        <v>226</v>
      </c>
      <c r="B23" s="220">
        <f>B17-C17+1</f>
        <v>412</v>
      </c>
      <c r="C23" s="392"/>
      <c r="D23" s="392"/>
      <c r="H23" s="450"/>
      <c r="I23" s="391"/>
      <c r="J23" s="392"/>
      <c r="K23" s="392"/>
      <c r="L23" s="392"/>
      <c r="M23" s="392"/>
      <c r="N23" s="392"/>
      <c r="O23" s="392"/>
      <c r="P23" s="392"/>
      <c r="Q23" s="392"/>
      <c r="R23" s="392"/>
      <c r="S23" s="392"/>
      <c r="T23" s="392"/>
      <c r="U23" s="392"/>
      <c r="V23" s="392"/>
      <c r="W23" s="392"/>
    </row>
    <row r="24" spans="1:24" s="392" customFormat="1" ht="15" customHeight="1" thickBot="1">
      <c r="A24" s="209" t="s">
        <v>227</v>
      </c>
      <c r="B24" s="220">
        <f>IF(E7&gt;B16,B17-E7+1,B17-B16+1)</f>
        <v>47</v>
      </c>
      <c r="E24" s="390" t="s">
        <v>128</v>
      </c>
      <c r="F24" s="396" t="s">
        <v>217</v>
      </c>
      <c r="H24" s="450"/>
      <c r="I24" s="391"/>
    </row>
    <row r="25" spans="1:24" s="392" customFormat="1" ht="15" customHeight="1" thickBot="1">
      <c r="A25" s="209" t="s">
        <v>4</v>
      </c>
      <c r="B25" s="220">
        <f>(B17-(B16-1))+VLOOKUP(B18,O10:Q20,3)+1</f>
        <v>47</v>
      </c>
      <c r="E25" s="457" t="s">
        <v>128</v>
      </c>
      <c r="F25" s="396" t="s">
        <v>218</v>
      </c>
      <c r="G25" s="450"/>
      <c r="H25" s="450"/>
      <c r="I25" s="391"/>
    </row>
    <row r="26" spans="1:24" s="392" customFormat="1" ht="15" customHeight="1" thickBot="1">
      <c r="A26" s="428"/>
      <c r="B26" s="429"/>
      <c r="C26" s="482" t="s">
        <v>230</v>
      </c>
      <c r="G26" s="447" t="s">
        <v>208</v>
      </c>
      <c r="H26" s="450"/>
      <c r="I26" s="391"/>
    </row>
    <row r="27" spans="1:24" s="392" customFormat="1" ht="15" customHeight="1">
      <c r="A27" s="428"/>
      <c r="B27" s="483" t="s">
        <v>231</v>
      </c>
      <c r="C27" s="482" t="s">
        <v>175</v>
      </c>
      <c r="D27" s="611" t="s">
        <v>212</v>
      </c>
      <c r="E27" s="612"/>
      <c r="F27" s="455">
        <f>IF(C27="SI",(B20*30*10%),0)</f>
        <v>1000</v>
      </c>
      <c r="G27" s="430">
        <v>0</v>
      </c>
      <c r="H27" s="450"/>
      <c r="I27" s="391"/>
    </row>
    <row r="28" spans="1:24" s="392" customFormat="1" ht="15" customHeight="1" thickBot="1">
      <c r="A28" s="428"/>
      <c r="B28" s="483" t="s">
        <v>223</v>
      </c>
      <c r="C28" s="482" t="s">
        <v>128</v>
      </c>
      <c r="D28" s="613" t="s">
        <v>213</v>
      </c>
      <c r="E28" s="614"/>
      <c r="F28" s="456">
        <f>IF(C28="SI",(B20*30*13%),0)</f>
        <v>0</v>
      </c>
      <c r="G28" s="431">
        <f>G6*1.3*30.4</f>
        <v>3185.3119999999999</v>
      </c>
      <c r="H28" s="412"/>
      <c r="I28" s="391"/>
      <c r="W28" s="194"/>
    </row>
    <row r="29" spans="1:24" s="392" customFormat="1" ht="12" customHeight="1">
      <c r="A29" s="393"/>
      <c r="B29" s="393"/>
      <c r="C29" s="409"/>
      <c r="D29" s="409"/>
      <c r="E29" s="410"/>
      <c r="F29" s="411"/>
      <c r="G29" s="411"/>
      <c r="H29" s="393"/>
      <c r="J29" s="392" t="s">
        <v>122</v>
      </c>
      <c r="L29" s="392" t="s">
        <v>117</v>
      </c>
      <c r="O29" s="392" t="s">
        <v>123</v>
      </c>
    </row>
    <row r="30" spans="1:24" ht="15">
      <c r="A30" s="367" t="s">
        <v>148</v>
      </c>
      <c r="B30" s="341"/>
      <c r="C30" s="337"/>
      <c r="D30" s="336" t="s">
        <v>29</v>
      </c>
      <c r="E30" s="337" t="s">
        <v>30</v>
      </c>
      <c r="F30" s="598" t="s">
        <v>8</v>
      </c>
      <c r="G30" s="599"/>
      <c r="H30" s="592">
        <v>1</v>
      </c>
      <c r="I30" s="434">
        <v>15</v>
      </c>
      <c r="J30" s="264">
        <f>L30/30*I30</f>
        <v>500.00000000000006</v>
      </c>
      <c r="K30" s="287">
        <v>0.1</v>
      </c>
      <c r="L30" s="217">
        <f>K30*B19</f>
        <v>1000</v>
      </c>
      <c r="M30" s="194" t="s">
        <v>117</v>
      </c>
      <c r="N30" s="194" t="s">
        <v>119</v>
      </c>
      <c r="O30" s="264">
        <f>J30-L30</f>
        <v>-499.99999999999994</v>
      </c>
    </row>
    <row r="31" spans="1:24" ht="11.25" customHeight="1">
      <c r="A31" s="342"/>
      <c r="B31" s="338" t="s">
        <v>149</v>
      </c>
      <c r="C31" s="338" t="s">
        <v>31</v>
      </c>
      <c r="D31" s="339" t="s">
        <v>32</v>
      </c>
      <c r="E31" s="340" t="s">
        <v>33</v>
      </c>
      <c r="F31" s="600"/>
      <c r="G31" s="601"/>
      <c r="H31" s="593"/>
      <c r="I31" s="435">
        <v>15</v>
      </c>
      <c r="J31" s="264">
        <f>L31/30*I31</f>
        <v>650</v>
      </c>
      <c r="K31" s="287">
        <v>0.13</v>
      </c>
      <c r="L31" s="217">
        <f>K31*B19</f>
        <v>1300</v>
      </c>
      <c r="M31" s="194" t="s">
        <v>117</v>
      </c>
      <c r="N31" s="194" t="s">
        <v>120</v>
      </c>
      <c r="O31" s="264">
        <f>J31-L31</f>
        <v>-650</v>
      </c>
    </row>
    <row r="32" spans="1:24" ht="12">
      <c r="A32" s="363" t="s">
        <v>136</v>
      </c>
      <c r="B32" s="231">
        <f>+E21</f>
        <v>15</v>
      </c>
      <c r="C32" s="234">
        <f>+B32*B20</f>
        <v>5000</v>
      </c>
      <c r="D32" s="387"/>
      <c r="E32" s="212">
        <f t="shared" ref="E32:E44" si="0">+C32-D32</f>
        <v>5000</v>
      </c>
      <c r="F32" s="449" t="s">
        <v>211</v>
      </c>
      <c r="G32" s="474">
        <f>VLOOKUP(C18,'Tablas de Prestaciones'!$B$7:$E$50,4,FALSE)</f>
        <v>6</v>
      </c>
      <c r="H32" s="208"/>
      <c r="I32" s="208"/>
      <c r="J32" s="230"/>
      <c r="K32" s="264"/>
    </row>
    <row r="33" spans="1:27" ht="12">
      <c r="A33" s="363" t="s">
        <v>129</v>
      </c>
      <c r="B33" s="305">
        <v>0</v>
      </c>
      <c r="C33" s="229">
        <f>+B33*B20</f>
        <v>0</v>
      </c>
      <c r="D33" s="387"/>
      <c r="E33" s="212">
        <f t="shared" si="0"/>
        <v>0</v>
      </c>
      <c r="F33" s="231" t="s">
        <v>209</v>
      </c>
      <c r="G33" s="480">
        <f>'Tablas de Prestaciones'!E3</f>
        <v>0.25</v>
      </c>
      <c r="H33" s="292"/>
      <c r="J33" s="267">
        <f>K33*16</f>
        <v>1306.7946666666664</v>
      </c>
      <c r="K33" s="264">
        <f>L33/30</f>
        <v>81.674666666666653</v>
      </c>
      <c r="L33" s="217">
        <f>G6*30.4</f>
        <v>2450.2399999999998</v>
      </c>
      <c r="M33" s="194" t="s">
        <v>118</v>
      </c>
      <c r="N33" s="194" t="s">
        <v>119</v>
      </c>
      <c r="O33" s="264">
        <f>J33-L33</f>
        <v>-1143.4453333333333</v>
      </c>
      <c r="P33" s="194">
        <v>1901</v>
      </c>
      <c r="S33" s="264">
        <f>O33*-1</f>
        <v>1143.4453333333333</v>
      </c>
    </row>
    <row r="34" spans="1:27" ht="12">
      <c r="A34" s="467" t="s">
        <v>162</v>
      </c>
      <c r="B34" s="448">
        <v>0</v>
      </c>
      <c r="C34" s="229"/>
      <c r="D34" s="387"/>
      <c r="E34" s="212"/>
      <c r="F34" s="231" t="s">
        <v>210</v>
      </c>
      <c r="G34" s="474">
        <f>Formato!I18</f>
        <v>15</v>
      </c>
      <c r="H34" s="423"/>
      <c r="J34" s="267"/>
      <c r="K34" s="264"/>
      <c r="L34" s="217"/>
      <c r="O34" s="264"/>
      <c r="S34" s="264"/>
    </row>
    <row r="35" spans="1:27" ht="12">
      <c r="A35" s="363" t="s">
        <v>14</v>
      </c>
      <c r="B35" s="231">
        <f>(G32/365)*B23-B34</f>
        <v>6.7726027397260271</v>
      </c>
      <c r="C35" s="229">
        <f>B35*B20</f>
        <v>2257.5342465753424</v>
      </c>
      <c r="D35" s="387">
        <v>0</v>
      </c>
      <c r="E35" s="212">
        <f t="shared" si="0"/>
        <v>2257.5342465753424</v>
      </c>
      <c r="F35" s="310"/>
      <c r="G35" s="481"/>
      <c r="H35" s="293"/>
      <c r="I35" s="237"/>
      <c r="J35" s="267">
        <f>K35*16</f>
        <v>1698.8330666666666</v>
      </c>
      <c r="K35" s="264">
        <f>L35/30</f>
        <v>106.17706666666666</v>
      </c>
      <c r="L35" s="217">
        <f>G6*1.3*30.4</f>
        <v>3185.3119999999999</v>
      </c>
      <c r="M35" s="194" t="s">
        <v>118</v>
      </c>
      <c r="N35" s="194" t="s">
        <v>120</v>
      </c>
      <c r="O35" s="264">
        <f>J35-L35</f>
        <v>-1486.4789333333333</v>
      </c>
      <c r="P35" s="194">
        <v>1902</v>
      </c>
      <c r="Q35" s="194">
        <v>1905</v>
      </c>
      <c r="R35" s="194">
        <v>1903</v>
      </c>
      <c r="S35" s="264">
        <f>O35*-1</f>
        <v>1486.4789333333333</v>
      </c>
    </row>
    <row r="36" spans="1:27" ht="12">
      <c r="A36" s="364" t="s">
        <v>115</v>
      </c>
      <c r="B36" s="231">
        <f>E19/365*B23</f>
        <v>6.7726027397260271</v>
      </c>
      <c r="C36" s="229">
        <f>B36*B20*G33</f>
        <v>564.38356164383561</v>
      </c>
      <c r="D36" s="387">
        <f>IF(E24="NO",IF(C36&lt;($G$6*15),C36,$G$6*15),0)</f>
        <v>564.38356164383561</v>
      </c>
      <c r="E36" s="212">
        <f t="shared" si="0"/>
        <v>0</v>
      </c>
      <c r="F36" s="310"/>
      <c r="G36" s="310"/>
      <c r="H36" s="349"/>
      <c r="I36" s="256"/>
      <c r="J36" s="267"/>
      <c r="W36" s="293"/>
      <c r="X36" s="413"/>
      <c r="Y36" s="256"/>
      <c r="Z36" s="413"/>
    </row>
    <row r="37" spans="1:27" ht="12">
      <c r="A37" s="363" t="s">
        <v>35</v>
      </c>
      <c r="B37" s="231">
        <f>(B24)/365*G34</f>
        <v>1.9315068493150684</v>
      </c>
      <c r="C37" s="229">
        <f>+B37*B20</f>
        <v>643.83561643835606</v>
      </c>
      <c r="D37" s="387">
        <f>IF(E25="NO",IF(C37&lt;($G$6*30),C37,$G$6*30),0)</f>
        <v>643.83561643835606</v>
      </c>
      <c r="E37" s="212">
        <f t="shared" si="0"/>
        <v>0</v>
      </c>
      <c r="F37" s="310"/>
      <c r="G37" s="310"/>
      <c r="H37" s="349"/>
      <c r="I37" s="237"/>
      <c r="J37" s="267"/>
      <c r="K37" s="264"/>
      <c r="L37" s="217"/>
      <c r="O37" s="264"/>
      <c r="S37" s="264"/>
      <c r="W37" s="293"/>
      <c r="X37" s="413"/>
    </row>
    <row r="38" spans="1:27" ht="12">
      <c r="A38" s="363" t="s">
        <v>134</v>
      </c>
      <c r="B38" s="343" t="s">
        <v>175</v>
      </c>
      <c r="C38" s="229">
        <f>+IF(B38="NO",0,E22*G47)</f>
        <v>0</v>
      </c>
      <c r="D38" s="388"/>
      <c r="E38" s="212">
        <f t="shared" si="0"/>
        <v>0</v>
      </c>
      <c r="F38" s="310"/>
      <c r="G38" s="310"/>
      <c r="H38" s="350"/>
      <c r="I38" s="265"/>
      <c r="J38" s="267">
        <f>K38*16</f>
        <v>0</v>
      </c>
      <c r="K38" s="264">
        <f>L38/30</f>
        <v>0</v>
      </c>
      <c r="L38" s="217">
        <f>IF(L35&gt;L31,0,L31-L35)</f>
        <v>0</v>
      </c>
      <c r="M38" s="194" t="s">
        <v>121</v>
      </c>
      <c r="N38" s="194" t="s">
        <v>120</v>
      </c>
      <c r="O38" s="264">
        <f>J38-L38</f>
        <v>0</v>
      </c>
      <c r="P38" s="194">
        <v>3500</v>
      </c>
      <c r="S38" s="264">
        <f>O38*-1</f>
        <v>0</v>
      </c>
      <c r="X38" s="413"/>
    </row>
    <row r="39" spans="1:27" ht="13.5" customHeight="1">
      <c r="A39" s="363" t="s">
        <v>96</v>
      </c>
      <c r="B39" s="227"/>
      <c r="C39" s="229">
        <f>IF(F28&gt;G27,G27/30*E21,F28/30*E21)</f>
        <v>0</v>
      </c>
      <c r="D39" s="388">
        <f>C39</f>
        <v>0</v>
      </c>
      <c r="E39" s="212">
        <f t="shared" si="0"/>
        <v>0</v>
      </c>
      <c r="F39" s="310"/>
      <c r="G39" s="310"/>
      <c r="H39" s="226"/>
      <c r="I39" s="257"/>
      <c r="J39" s="217"/>
      <c r="P39" s="288">
        <v>1901</v>
      </c>
      <c r="Q39" s="264" t="e">
        <f>#REF!</f>
        <v>#REF!</v>
      </c>
      <c r="R39" s="264" t="e">
        <f>Q39*-1</f>
        <v>#REF!</v>
      </c>
      <c r="T39" s="194">
        <v>739.5</v>
      </c>
      <c r="X39" s="436" t="s">
        <v>178</v>
      </c>
      <c r="Y39" s="440"/>
      <c r="Z39" s="440"/>
      <c r="AA39" s="440"/>
    </row>
    <row r="40" spans="1:27" ht="13.5" thickBot="1">
      <c r="A40" s="363" t="s">
        <v>95</v>
      </c>
      <c r="B40" s="227"/>
      <c r="C40" s="229">
        <f>C39</f>
        <v>0</v>
      </c>
      <c r="D40" s="388">
        <f>C40</f>
        <v>0</v>
      </c>
      <c r="E40" s="212">
        <f t="shared" si="0"/>
        <v>0</v>
      </c>
      <c r="F40" s="310"/>
      <c r="G40" s="310"/>
      <c r="H40" s="212"/>
      <c r="I40" s="257"/>
      <c r="J40" s="217"/>
      <c r="P40" s="288"/>
      <c r="Q40" s="264"/>
      <c r="R40" s="264"/>
      <c r="X40" s="475" t="s">
        <v>179</v>
      </c>
      <c r="Y40" s="441" t="s">
        <v>205</v>
      </c>
      <c r="Z40" s="441" t="s">
        <v>206</v>
      </c>
      <c r="AA40" s="441" t="s">
        <v>30</v>
      </c>
    </row>
    <row r="41" spans="1:27" ht="12">
      <c r="A41" s="363" t="s">
        <v>176</v>
      </c>
      <c r="B41" s="227"/>
      <c r="C41" s="458">
        <v>0</v>
      </c>
      <c r="D41" s="388">
        <f>C41</f>
        <v>0</v>
      </c>
      <c r="E41" s="212">
        <f t="shared" si="0"/>
        <v>0</v>
      </c>
      <c r="F41" s="310"/>
      <c r="G41" s="310"/>
      <c r="H41" s="212"/>
      <c r="I41" s="257"/>
      <c r="J41" s="217"/>
      <c r="P41" s="288"/>
      <c r="Q41" s="264"/>
      <c r="R41" s="264"/>
      <c r="X41" s="437" t="s">
        <v>202</v>
      </c>
      <c r="Y41" s="459"/>
      <c r="Z41" s="442">
        <f>Y41</f>
        <v>0</v>
      </c>
      <c r="AA41" s="443">
        <f>Y41+Z41</f>
        <v>0</v>
      </c>
    </row>
    <row r="42" spans="1:27" ht="12">
      <c r="A42" s="363" t="s">
        <v>174</v>
      </c>
      <c r="B42" s="227"/>
      <c r="C42" s="458">
        <f>AA65</f>
        <v>0</v>
      </c>
      <c r="D42" s="388">
        <f>C42</f>
        <v>0</v>
      </c>
      <c r="E42" s="212">
        <f t="shared" si="0"/>
        <v>0</v>
      </c>
      <c r="F42" s="602" t="s">
        <v>19</v>
      </c>
      <c r="G42" s="603"/>
      <c r="H42" s="212"/>
      <c r="I42" s="237"/>
      <c r="N42" s="264" t="e">
        <f>#REF!+S37</f>
        <v>#REF!</v>
      </c>
      <c r="O42" s="264"/>
      <c r="P42" s="288">
        <v>1902</v>
      </c>
      <c r="Q42" s="264">
        <f>C39</f>
        <v>0</v>
      </c>
      <c r="R42" s="264">
        <f>Q42*-1</f>
        <v>0</v>
      </c>
      <c r="T42" s="194">
        <v>961.35</v>
      </c>
      <c r="X42" s="438" t="s">
        <v>203</v>
      </c>
      <c r="Y42" s="459"/>
      <c r="Z42" s="442">
        <f t="shared" ref="Z42:Z64" si="1">Y42</f>
        <v>0</v>
      </c>
      <c r="AA42" s="443">
        <f t="shared" ref="AA42:AA64" si="2">Y42+Z42</f>
        <v>0</v>
      </c>
    </row>
    <row r="43" spans="1:27" ht="12">
      <c r="A43" s="363" t="s">
        <v>224</v>
      </c>
      <c r="B43" s="227"/>
      <c r="C43" s="458">
        <f>+B43</f>
        <v>0</v>
      </c>
      <c r="D43" s="387">
        <v>0</v>
      </c>
      <c r="E43" s="212">
        <f t="shared" si="0"/>
        <v>0</v>
      </c>
      <c r="F43" s="306" t="s">
        <v>250</v>
      </c>
      <c r="G43" s="231">
        <f>B20</f>
        <v>333.33333333333331</v>
      </c>
      <c r="H43" s="294"/>
      <c r="O43" s="264"/>
      <c r="X43" s="438" t="s">
        <v>180</v>
      </c>
      <c r="Y43" s="459"/>
      <c r="Z43" s="442">
        <f t="shared" si="1"/>
        <v>0</v>
      </c>
      <c r="AA43" s="443">
        <f t="shared" si="2"/>
        <v>0</v>
      </c>
    </row>
    <row r="44" spans="1:27" ht="12">
      <c r="A44" s="363" t="s">
        <v>214</v>
      </c>
      <c r="B44" s="227"/>
      <c r="C44" s="458">
        <f>B44*B21</f>
        <v>0</v>
      </c>
      <c r="D44" s="387">
        <v>0</v>
      </c>
      <c r="E44" s="212">
        <f t="shared" si="0"/>
        <v>0</v>
      </c>
      <c r="F44" s="306" t="s">
        <v>135</v>
      </c>
      <c r="G44" s="232">
        <f>(B22*G32*G33)/365</f>
        <v>1.3698630136986301</v>
      </c>
      <c r="H44" s="295"/>
      <c r="M44" s="264"/>
      <c r="N44" s="264"/>
      <c r="X44" s="438" t="s">
        <v>181</v>
      </c>
      <c r="Y44" s="459"/>
      <c r="Z44" s="442">
        <f t="shared" si="1"/>
        <v>0</v>
      </c>
      <c r="AA44" s="443">
        <f t="shared" si="2"/>
        <v>0</v>
      </c>
    </row>
    <row r="45" spans="1:27" ht="12">
      <c r="A45" s="363"/>
      <c r="B45" s="227"/>
      <c r="C45" s="458">
        <f>B45*B22</f>
        <v>0</v>
      </c>
      <c r="D45" s="387">
        <v>0</v>
      </c>
      <c r="E45" s="212">
        <f>+C45-D45</f>
        <v>0</v>
      </c>
      <c r="F45" s="307" t="s">
        <v>35</v>
      </c>
      <c r="G45" s="233">
        <f>(B22*G34)/365</f>
        <v>13.698630136986301</v>
      </c>
      <c r="H45" s="295"/>
      <c r="M45" s="264"/>
      <c r="O45" s="264"/>
      <c r="Q45" s="194">
        <v>303.61146666666707</v>
      </c>
      <c r="X45" s="438" t="s">
        <v>182</v>
      </c>
      <c r="Y45" s="459"/>
      <c r="Z45" s="442">
        <f t="shared" si="1"/>
        <v>0</v>
      </c>
      <c r="AA45" s="443">
        <f t="shared" si="2"/>
        <v>0</v>
      </c>
    </row>
    <row r="46" spans="1:27" ht="12">
      <c r="A46" s="363"/>
      <c r="B46" s="227"/>
      <c r="C46" s="458">
        <f>B46*B23</f>
        <v>0</v>
      </c>
      <c r="D46" s="387">
        <v>0</v>
      </c>
      <c r="E46" s="212">
        <f>+C46-D46</f>
        <v>0</v>
      </c>
      <c r="F46" s="308"/>
      <c r="G46" s="233"/>
      <c r="H46" s="296"/>
      <c r="M46" s="264"/>
      <c r="Q46" s="194">
        <v>394.69490666666672</v>
      </c>
      <c r="W46" s="413"/>
      <c r="X46" s="438" t="s">
        <v>183</v>
      </c>
      <c r="Y46" s="459"/>
      <c r="Z46" s="442">
        <f t="shared" si="1"/>
        <v>0</v>
      </c>
      <c r="AA46" s="443">
        <f t="shared" si="2"/>
        <v>0</v>
      </c>
    </row>
    <row r="47" spans="1:27" ht="12">
      <c r="A47" s="363"/>
      <c r="B47" s="227"/>
      <c r="C47" s="458">
        <f>B47*B24</f>
        <v>0</v>
      </c>
      <c r="D47" s="387">
        <v>0</v>
      </c>
      <c r="E47" s="212">
        <f>+C47-D47</f>
        <v>0</v>
      </c>
      <c r="F47" s="308"/>
      <c r="G47" s="233"/>
      <c r="H47" s="295"/>
      <c r="I47" s="237"/>
      <c r="M47" s="264"/>
      <c r="O47" s="264"/>
      <c r="X47" s="438" t="s">
        <v>184</v>
      </c>
      <c r="Y47" s="459"/>
      <c r="Z47" s="442">
        <f t="shared" si="1"/>
        <v>0</v>
      </c>
      <c r="AA47" s="443">
        <f t="shared" si="2"/>
        <v>0</v>
      </c>
    </row>
    <row r="48" spans="1:27" ht="12.75" thickBot="1">
      <c r="A48" s="363"/>
      <c r="B48" s="227"/>
      <c r="C48" s="229"/>
      <c r="D48" s="387"/>
      <c r="E48" s="212"/>
      <c r="F48" s="226"/>
      <c r="G48" s="234"/>
      <c r="H48" s="295"/>
      <c r="I48" s="237"/>
      <c r="M48" s="264"/>
      <c r="O48" s="264"/>
      <c r="X48" s="438" t="s">
        <v>185</v>
      </c>
      <c r="Y48" s="459"/>
      <c r="Z48" s="442">
        <f t="shared" si="1"/>
        <v>0</v>
      </c>
      <c r="AA48" s="443">
        <f t="shared" si="2"/>
        <v>0</v>
      </c>
    </row>
    <row r="49" spans="1:27" ht="11.25" customHeight="1">
      <c r="A49" s="334" t="s">
        <v>112</v>
      </c>
      <c r="B49" s="335"/>
      <c r="C49" s="335">
        <f>SUM(C32:C48)</f>
        <v>8465.7534246575342</v>
      </c>
      <c r="D49" s="335">
        <f>SUM(D32:D48)</f>
        <v>1208.2191780821918</v>
      </c>
      <c r="E49" s="335">
        <f>SUM(E32:E48)-C69</f>
        <v>7257.534246575342</v>
      </c>
      <c r="F49" s="596" t="s">
        <v>1</v>
      </c>
      <c r="G49" s="594">
        <f>+G44+G45+G43</f>
        <v>348.40182648401827</v>
      </c>
      <c r="H49" s="298"/>
      <c r="X49" s="438" t="s">
        <v>186</v>
      </c>
      <c r="Y49" s="459"/>
      <c r="Z49" s="442">
        <f t="shared" si="1"/>
        <v>0</v>
      </c>
      <c r="AA49" s="443">
        <f t="shared" si="2"/>
        <v>0</v>
      </c>
    </row>
    <row r="50" spans="1:27" ht="12" thickBot="1">
      <c r="C50" s="225"/>
      <c r="D50" s="291"/>
      <c r="E50" s="225"/>
      <c r="F50" s="597"/>
      <c r="G50" s="595"/>
      <c r="H50" s="299"/>
      <c r="I50" s="255"/>
      <c r="X50" s="438" t="s">
        <v>187</v>
      </c>
      <c r="Y50" s="459"/>
      <c r="Z50" s="442">
        <f t="shared" si="1"/>
        <v>0</v>
      </c>
      <c r="AA50" s="443">
        <f t="shared" si="2"/>
        <v>0</v>
      </c>
    </row>
    <row r="51" spans="1:27">
      <c r="A51" s="352" t="s">
        <v>13</v>
      </c>
      <c r="B51" s="368">
        <f>+IF(B14="SI",100%,0)</f>
        <v>1</v>
      </c>
      <c r="C51" s="236"/>
      <c r="D51" s="236"/>
      <c r="E51" s="235"/>
      <c r="F51" s="212"/>
      <c r="G51" s="215"/>
      <c r="H51" s="293"/>
      <c r="X51" s="438" t="s">
        <v>188</v>
      </c>
      <c r="Y51" s="459"/>
      <c r="Z51" s="442">
        <f t="shared" si="1"/>
        <v>0</v>
      </c>
      <c r="AA51" s="443">
        <f t="shared" si="2"/>
        <v>0</v>
      </c>
    </row>
    <row r="52" spans="1:27" ht="12">
      <c r="A52" s="365" t="s">
        <v>2</v>
      </c>
      <c r="B52" s="238">
        <f>IF(B14="si",90*B51,0)</f>
        <v>90</v>
      </c>
      <c r="C52" s="397">
        <f>+B52*G49</f>
        <v>31356.164383561645</v>
      </c>
      <c r="D52" s="355">
        <f>IF((C52+C53+C54)&gt;(B18*90*G6),IF((C52+C53+C54)&lt;(B18*90*G6),IF(C52+C53+C54&gt;0,B18*90*G6,0),B18*90*G6),C54)</f>
        <v>914.00399999999991</v>
      </c>
      <c r="E52" s="356">
        <f>+C52-D52</f>
        <v>30442.160383561644</v>
      </c>
      <c r="F52" s="212"/>
      <c r="G52" s="215"/>
      <c r="H52" s="300"/>
      <c r="X52" s="438" t="s">
        <v>189</v>
      </c>
      <c r="Y52" s="459"/>
      <c r="Z52" s="442">
        <f t="shared" si="1"/>
        <v>0</v>
      </c>
      <c r="AA52" s="443">
        <f t="shared" si="2"/>
        <v>0</v>
      </c>
    </row>
    <row r="53" spans="1:27" ht="12">
      <c r="A53" s="366" t="s">
        <v>94</v>
      </c>
      <c r="B53" s="238">
        <f>IF(B14="SI",20*B18,0)</f>
        <v>2.52</v>
      </c>
      <c r="C53" s="397">
        <f>+B53*G49</f>
        <v>877.97260273972609</v>
      </c>
      <c r="D53" s="357"/>
      <c r="E53" s="358">
        <f>+C53-D53</f>
        <v>877.97260273972609</v>
      </c>
      <c r="F53" s="241"/>
      <c r="H53" s="300"/>
      <c r="X53" s="438" t="s">
        <v>190</v>
      </c>
      <c r="Y53" s="459"/>
      <c r="Z53" s="442">
        <f t="shared" si="1"/>
        <v>0</v>
      </c>
      <c r="AA53" s="443">
        <f t="shared" si="2"/>
        <v>0</v>
      </c>
    </row>
    <row r="54" spans="1:27" ht="12">
      <c r="A54" s="366" t="s">
        <v>90</v>
      </c>
      <c r="B54" s="238">
        <f>((12/365)*(B25)*B51)</f>
        <v>1.5452054794520547</v>
      </c>
      <c r="C54" s="398">
        <f>IF(G49&gt;(G8*2),G8*2*B54,G49*B54)</f>
        <v>273.00690410958902</v>
      </c>
      <c r="D54" s="359"/>
      <c r="E54" s="360">
        <f>+C54-D54</f>
        <v>273.00690410958902</v>
      </c>
      <c r="F54" s="215"/>
      <c r="G54" s="215"/>
      <c r="X54" s="438" t="s">
        <v>191</v>
      </c>
      <c r="Y54" s="459"/>
      <c r="Z54" s="442">
        <f t="shared" si="1"/>
        <v>0</v>
      </c>
      <c r="AA54" s="443">
        <f t="shared" si="2"/>
        <v>0</v>
      </c>
    </row>
    <row r="55" spans="1:27">
      <c r="A55" s="353" t="s">
        <v>113</v>
      </c>
      <c r="B55" s="354"/>
      <c r="C55" s="361">
        <f>SUM(C52:C54)</f>
        <v>32507.14389041096</v>
      </c>
      <c r="D55" s="361">
        <f>SUM(D52:D54)</f>
        <v>914.00399999999991</v>
      </c>
      <c r="E55" s="362">
        <f>SUM(E52:E54)</f>
        <v>31593.139890410959</v>
      </c>
      <c r="F55" s="243"/>
      <c r="X55" s="438" t="s">
        <v>192</v>
      </c>
      <c r="Y55" s="459"/>
      <c r="Z55" s="442">
        <f t="shared" si="1"/>
        <v>0</v>
      </c>
      <c r="AA55" s="443">
        <f t="shared" si="2"/>
        <v>0</v>
      </c>
    </row>
    <row r="56" spans="1:27" s="221" customFormat="1" ht="12.75">
      <c r="A56" s="399"/>
      <c r="B56" s="400"/>
      <c r="C56" s="401"/>
      <c r="D56" s="401"/>
      <c r="E56" s="402"/>
      <c r="F56" s="215"/>
      <c r="G56" s="215"/>
      <c r="H56" s="208"/>
      <c r="X56" s="438" t="s">
        <v>193</v>
      </c>
      <c r="Y56" s="459"/>
      <c r="Z56" s="442">
        <f t="shared" si="1"/>
        <v>0</v>
      </c>
      <c r="AA56" s="443">
        <f t="shared" si="2"/>
        <v>0</v>
      </c>
    </row>
    <row r="57" spans="1:27" ht="12">
      <c r="A57" s="334" t="s">
        <v>37</v>
      </c>
      <c r="B57" s="335"/>
      <c r="C57" s="335">
        <f>+C49+C55</f>
        <v>40972.897315068491</v>
      </c>
      <c r="D57" s="335">
        <f>+D49+D55</f>
        <v>2122.2231780821917</v>
      </c>
      <c r="E57" s="335">
        <f>+E49+E55</f>
        <v>38850.674136986301</v>
      </c>
      <c r="F57" s="253"/>
      <c r="G57" s="215"/>
      <c r="X57" s="438" t="s">
        <v>194</v>
      </c>
      <c r="Y57" s="459"/>
      <c r="Z57" s="442">
        <f t="shared" si="1"/>
        <v>0</v>
      </c>
      <c r="AA57" s="443">
        <f t="shared" si="2"/>
        <v>0</v>
      </c>
    </row>
    <row r="58" spans="1:27">
      <c r="A58" s="207"/>
      <c r="B58" s="206"/>
      <c r="C58" s="239"/>
      <c r="D58" s="240"/>
      <c r="E58" s="241"/>
      <c r="F58" s="208"/>
      <c r="G58" s="215"/>
      <c r="I58" s="199"/>
      <c r="X58" s="438" t="s">
        <v>195</v>
      </c>
      <c r="Y58" s="459"/>
      <c r="Z58" s="442">
        <f t="shared" si="1"/>
        <v>0</v>
      </c>
      <c r="AA58" s="443">
        <f t="shared" si="2"/>
        <v>0</v>
      </c>
    </row>
    <row r="59" spans="1:27" ht="15">
      <c r="A59" s="403" t="s">
        <v>38</v>
      </c>
      <c r="B59" s="404" t="s">
        <v>20</v>
      </c>
      <c r="C59" s="404" t="s">
        <v>43</v>
      </c>
      <c r="D59" s="212"/>
      <c r="E59" s="235"/>
      <c r="F59" s="208"/>
      <c r="G59" s="215"/>
      <c r="X59" s="438" t="s">
        <v>196</v>
      </c>
      <c r="Y59" s="459"/>
      <c r="Z59" s="442">
        <f t="shared" si="1"/>
        <v>0</v>
      </c>
      <c r="AA59" s="443">
        <f t="shared" si="2"/>
        <v>0</v>
      </c>
    </row>
    <row r="60" spans="1:27" ht="12">
      <c r="A60" s="363" t="s">
        <v>153</v>
      </c>
      <c r="B60" s="224"/>
      <c r="C60" s="385">
        <f>IF(D82&gt;0,D82,D82)</f>
        <v>894.92467506849221</v>
      </c>
      <c r="D60" s="212"/>
      <c r="E60" s="241"/>
      <c r="F60" s="241"/>
      <c r="G60" s="215"/>
      <c r="X60" s="438" t="s">
        <v>197</v>
      </c>
      <c r="Y60" s="459"/>
      <c r="Z60" s="442">
        <f t="shared" si="1"/>
        <v>0</v>
      </c>
      <c r="AA60" s="443">
        <f t="shared" si="2"/>
        <v>0</v>
      </c>
    </row>
    <row r="61" spans="1:27" ht="12">
      <c r="A61" s="363" t="s">
        <v>10</v>
      </c>
      <c r="B61" s="289"/>
      <c r="C61" s="386">
        <f>IF(((D88/C88)*E55)&gt;0,((D88/C88)*E55),0)</f>
        <v>2882.1991855319407</v>
      </c>
      <c r="D61" s="212"/>
      <c r="E61" s="270"/>
      <c r="F61" s="208"/>
      <c r="G61" s="215"/>
      <c r="I61" s="265"/>
      <c r="J61" s="265"/>
      <c r="X61" s="438" t="s">
        <v>198</v>
      </c>
      <c r="Y61" s="459"/>
      <c r="Z61" s="442">
        <f t="shared" si="1"/>
        <v>0</v>
      </c>
      <c r="AA61" s="443">
        <f t="shared" si="2"/>
        <v>0</v>
      </c>
    </row>
    <row r="62" spans="1:27" ht="12">
      <c r="A62" s="363" t="s">
        <v>39</v>
      </c>
      <c r="B62" s="216"/>
      <c r="C62" s="384">
        <f>+IMSS!G14+IMSS!G15+IMSS!G16+IMSS!G17</f>
        <v>192.340125</v>
      </c>
      <c r="D62" s="212"/>
      <c r="E62" s="253"/>
      <c r="F62" s="242"/>
      <c r="G62" s="215"/>
      <c r="K62" s="265"/>
      <c r="X62" s="438" t="s">
        <v>199</v>
      </c>
      <c r="Y62" s="459"/>
      <c r="Z62" s="442">
        <f t="shared" si="1"/>
        <v>0</v>
      </c>
      <c r="AA62" s="443">
        <f t="shared" si="2"/>
        <v>0</v>
      </c>
    </row>
    <row r="63" spans="1:27" ht="12">
      <c r="A63" s="363" t="s">
        <v>131</v>
      </c>
      <c r="B63" s="312"/>
      <c r="C63" s="384">
        <f>+IMSS!G18</f>
        <v>141.03281250000001</v>
      </c>
      <c r="D63" s="212"/>
      <c r="E63" s="253"/>
      <c r="F63" s="242"/>
      <c r="G63" s="215"/>
      <c r="K63" s="265"/>
      <c r="X63" s="438" t="s">
        <v>200</v>
      </c>
      <c r="Y63" s="459"/>
      <c r="Z63" s="442">
        <f t="shared" si="1"/>
        <v>0</v>
      </c>
      <c r="AA63" s="443">
        <f t="shared" si="2"/>
        <v>0</v>
      </c>
    </row>
    <row r="64" spans="1:27" ht="12.75" thickBot="1">
      <c r="A64" s="363" t="s">
        <v>221</v>
      </c>
      <c r="B64" s="477">
        <v>0</v>
      </c>
      <c r="C64" s="386">
        <f>B64</f>
        <v>0</v>
      </c>
      <c r="D64" s="212"/>
      <c r="E64" s="235"/>
      <c r="F64" s="208"/>
      <c r="G64" s="215"/>
      <c r="H64" s="297"/>
      <c r="X64" s="438" t="s">
        <v>201</v>
      </c>
      <c r="Y64" s="459"/>
      <c r="Z64" s="442">
        <f t="shared" si="1"/>
        <v>0</v>
      </c>
      <c r="AA64" s="443">
        <f t="shared" si="2"/>
        <v>0</v>
      </c>
    </row>
    <row r="65" spans="1:27" ht="12.75" thickBot="1">
      <c r="A65" s="363" t="s">
        <v>154</v>
      </c>
      <c r="B65" s="466" t="s">
        <v>128</v>
      </c>
      <c r="C65" s="384">
        <f>+IF(B65="SI",G47*(E22),0)</f>
        <v>0</v>
      </c>
      <c r="D65" s="212"/>
      <c r="E65" s="212"/>
      <c r="F65" s="414"/>
      <c r="G65" s="208"/>
      <c r="I65" s="265"/>
      <c r="X65" s="439" t="s">
        <v>204</v>
      </c>
      <c r="Y65" s="444">
        <f>SUM(Y41:Y64)</f>
        <v>0</v>
      </c>
      <c r="Z65" s="445">
        <f>SUM(Z41:Z64)</f>
        <v>0</v>
      </c>
      <c r="AA65" s="446">
        <f>SUM(AA41:AA64)</f>
        <v>0</v>
      </c>
    </row>
    <row r="66" spans="1:27" ht="12">
      <c r="A66" s="363" t="s">
        <v>126</v>
      </c>
      <c r="B66" s="477"/>
      <c r="C66" s="386">
        <f>B66</f>
        <v>0</v>
      </c>
      <c r="D66" s="212"/>
      <c r="E66" s="241"/>
      <c r="F66" s="242"/>
      <c r="G66" s="412"/>
    </row>
    <row r="67" spans="1:27" ht="12">
      <c r="A67" s="363" t="s">
        <v>97</v>
      </c>
      <c r="B67" s="224"/>
      <c r="C67" s="386">
        <f>C39</f>
        <v>0</v>
      </c>
      <c r="D67" s="208"/>
      <c r="E67" s="253"/>
      <c r="F67" s="215"/>
      <c r="G67" s="215"/>
      <c r="Z67" s="427"/>
    </row>
    <row r="68" spans="1:27" s="248" customFormat="1" ht="12">
      <c r="A68" s="363" t="s">
        <v>220</v>
      </c>
      <c r="B68" s="305">
        <v>0</v>
      </c>
      <c r="C68" s="386">
        <f>+B68*B20</f>
        <v>0</v>
      </c>
      <c r="D68" s="242"/>
      <c r="E68" s="208"/>
      <c r="G68" s="215"/>
      <c r="H68" s="301"/>
      <c r="W68" s="194"/>
    </row>
    <row r="69" spans="1:27" ht="12">
      <c r="A69" s="363" t="s">
        <v>207</v>
      </c>
      <c r="B69" s="476"/>
      <c r="C69" s="386">
        <f>B69</f>
        <v>0</v>
      </c>
      <c r="D69" s="195"/>
      <c r="E69" s="208"/>
      <c r="F69" s="194"/>
      <c r="G69" s="291"/>
      <c r="H69" s="194"/>
    </row>
    <row r="70" spans="1:27" ht="12">
      <c r="A70" s="363" t="s">
        <v>81</v>
      </c>
      <c r="B70" s="477"/>
      <c r="C70" s="386">
        <f>+B70</f>
        <v>0</v>
      </c>
      <c r="D70" s="195"/>
      <c r="E70" s="212"/>
      <c r="F70" s="222"/>
      <c r="G70" s="291"/>
      <c r="H70" s="194"/>
    </row>
    <row r="71" spans="1:27" ht="12">
      <c r="A71" s="363" t="s">
        <v>222</v>
      </c>
      <c r="B71" s="478"/>
      <c r="C71" s="386">
        <f>B71</f>
        <v>0</v>
      </c>
      <c r="D71" s="272"/>
      <c r="E71" s="212"/>
      <c r="F71" s="222"/>
      <c r="G71" s="291"/>
      <c r="H71" s="194"/>
    </row>
    <row r="72" spans="1:27" ht="12">
      <c r="A72" s="363" t="s">
        <v>116</v>
      </c>
      <c r="B72" s="477"/>
      <c r="C72" s="386">
        <f>B72</f>
        <v>0</v>
      </c>
      <c r="D72" s="208"/>
      <c r="E72" s="212"/>
      <c r="F72" s="222"/>
      <c r="G72" s="291"/>
      <c r="H72" s="194"/>
    </row>
    <row r="73" spans="1:27" ht="12">
      <c r="A73" s="363" t="s">
        <v>177</v>
      </c>
      <c r="B73" s="477"/>
      <c r="C73" s="386">
        <f>+B73</f>
        <v>0</v>
      </c>
      <c r="D73" s="208"/>
      <c r="E73" s="208"/>
      <c r="F73" s="222"/>
      <c r="G73" s="291"/>
      <c r="H73" s="194"/>
    </row>
    <row r="74" spans="1:27" ht="12">
      <c r="A74" s="363" t="s">
        <v>225</v>
      </c>
      <c r="B74" s="477"/>
      <c r="C74" s="386">
        <f>+B74</f>
        <v>0</v>
      </c>
      <c r="D74" s="208"/>
      <c r="E74" s="208"/>
      <c r="F74" s="222"/>
      <c r="G74" s="291"/>
      <c r="H74" s="194"/>
    </row>
    <row r="75" spans="1:27">
      <c r="A75" s="224"/>
      <c r="B75" s="311"/>
      <c r="C75" s="386"/>
      <c r="D75" s="208"/>
      <c r="E75" s="208"/>
      <c r="F75" s="222"/>
      <c r="G75" s="291"/>
      <c r="H75" s="194"/>
    </row>
    <row r="76" spans="1:27">
      <c r="A76" s="224"/>
      <c r="B76" s="311"/>
      <c r="C76" s="386"/>
      <c r="D76" s="208"/>
      <c r="E76" s="208"/>
      <c r="F76" s="222"/>
      <c r="G76" s="291"/>
      <c r="H76" s="194"/>
    </row>
    <row r="77" spans="1:27">
      <c r="A77" s="352" t="s">
        <v>133</v>
      </c>
      <c r="B77" s="361"/>
      <c r="C77" s="361">
        <f>SUM(C60:C76)</f>
        <v>4110.4967981004329</v>
      </c>
      <c r="D77" s="208"/>
      <c r="E77" s="245"/>
      <c r="F77" s="222"/>
      <c r="G77" s="291"/>
      <c r="H77" s="194"/>
    </row>
    <row r="78" spans="1:27" ht="12" customHeight="1" thickBot="1">
      <c r="A78" s="207" t="s">
        <v>15</v>
      </c>
      <c r="B78" s="206"/>
      <c r="C78" s="246"/>
      <c r="D78" s="208"/>
      <c r="E78" s="245"/>
      <c r="F78" s="222"/>
      <c r="G78" s="291"/>
      <c r="H78" s="194"/>
    </row>
    <row r="79" spans="1:27" ht="16.5" thickBot="1">
      <c r="A79" s="345" t="s">
        <v>40</v>
      </c>
      <c r="B79" s="346"/>
      <c r="C79" s="347">
        <f>+C57-C77</f>
        <v>36862.40051696806</v>
      </c>
      <c r="D79" s="208"/>
      <c r="E79" s="245"/>
      <c r="F79" s="222"/>
      <c r="G79" s="291"/>
      <c r="H79" s="194"/>
    </row>
    <row r="80" spans="1:27" ht="16.5" customHeight="1">
      <c r="A80" s="208"/>
      <c r="B80" s="208"/>
      <c r="C80" s="247"/>
      <c r="D80" s="253"/>
      <c r="E80" s="266"/>
      <c r="F80" s="222"/>
      <c r="G80" s="222"/>
    </row>
    <row r="81" spans="1:7" ht="12">
      <c r="A81" s="249" t="s">
        <v>12</v>
      </c>
      <c r="B81" s="244"/>
      <c r="C81" s="250" t="s">
        <v>28</v>
      </c>
      <c r="D81" s="250" t="s">
        <v>9</v>
      </c>
      <c r="F81" s="222"/>
      <c r="G81" s="222"/>
    </row>
    <row r="82" spans="1:7">
      <c r="A82" s="219" t="s">
        <v>91</v>
      </c>
      <c r="B82" s="244"/>
      <c r="C82" s="251">
        <f>E49</f>
        <v>7257.534246575342</v>
      </c>
      <c r="D82" s="252">
        <f>+D84-D83</f>
        <v>894.92467506849221</v>
      </c>
      <c r="F82" s="222"/>
      <c r="G82" s="222"/>
    </row>
    <row r="83" spans="1:7" ht="12">
      <c r="A83" s="374" t="s">
        <v>92</v>
      </c>
      <c r="B83" s="351"/>
      <c r="C83" s="375" t="s">
        <v>240</v>
      </c>
      <c r="D83" s="375" t="s">
        <v>239</v>
      </c>
      <c r="F83" s="222"/>
      <c r="G83" s="222"/>
    </row>
    <row r="84" spans="1:7">
      <c r="A84" s="219" t="s">
        <v>41</v>
      </c>
      <c r="B84" s="244"/>
      <c r="C84" s="252">
        <f>C82+C83</f>
        <v>18757.584246575341</v>
      </c>
      <c r="D84" s="252">
        <f>+ISR!G17</f>
        <v>2713.1646750684922</v>
      </c>
      <c r="F84" s="222"/>
      <c r="G84" s="222"/>
    </row>
    <row r="85" spans="1:7">
      <c r="A85" s="208"/>
      <c r="B85" s="208"/>
      <c r="C85" s="253"/>
      <c r="D85" s="252"/>
      <c r="F85" s="222"/>
      <c r="G85" s="222"/>
    </row>
    <row r="86" spans="1:7" ht="12">
      <c r="A86" s="249" t="s">
        <v>11</v>
      </c>
      <c r="B86" s="244"/>
      <c r="C86" s="250" t="s">
        <v>28</v>
      </c>
      <c r="D86" s="223" t="s">
        <v>93</v>
      </c>
      <c r="F86" s="222"/>
      <c r="G86" s="222"/>
    </row>
    <row r="87" spans="1:7">
      <c r="A87" s="219" t="s">
        <v>98</v>
      </c>
      <c r="B87" s="244"/>
      <c r="C87" s="251">
        <f>+E55</f>
        <v>31593.139890410959</v>
      </c>
      <c r="D87" s="252">
        <f>+D89-D88</f>
        <v>1969.9127855319407</v>
      </c>
      <c r="F87" s="222"/>
      <c r="G87" s="222"/>
    </row>
    <row r="88" spans="1:7" ht="12">
      <c r="A88" s="369" t="s">
        <v>114</v>
      </c>
      <c r="B88" s="370"/>
      <c r="C88" s="371">
        <f>B19</f>
        <v>10000</v>
      </c>
      <c r="D88" s="372">
        <f>ISR!G39</f>
        <v>912.28639999999996</v>
      </c>
      <c r="E88" s="373">
        <f>+D88/C88</f>
        <v>9.122864E-2</v>
      </c>
      <c r="F88" s="222"/>
      <c r="G88" s="222"/>
    </row>
    <row r="89" spans="1:7">
      <c r="A89" s="219" t="s">
        <v>41</v>
      </c>
      <c r="B89" s="244"/>
      <c r="C89" s="252">
        <f>C87+C88</f>
        <v>41593.139890410959</v>
      </c>
      <c r="D89" s="252">
        <f>C87*E88</f>
        <v>2882.1991855319407</v>
      </c>
      <c r="F89" s="222"/>
      <c r="G89" s="222"/>
    </row>
    <row r="90" spans="1:7">
      <c r="A90" s="208"/>
      <c r="B90" s="208"/>
      <c r="C90" s="253"/>
      <c r="D90" s="253"/>
      <c r="E90" s="253"/>
      <c r="F90" s="222"/>
      <c r="G90" s="222"/>
    </row>
    <row r="91" spans="1:7">
      <c r="A91" s="221"/>
      <c r="B91" s="221"/>
      <c r="C91" s="269"/>
      <c r="D91" s="268"/>
      <c r="E91" s="221"/>
      <c r="F91" s="222"/>
      <c r="G91" s="222"/>
    </row>
    <row r="92" spans="1:7">
      <c r="A92" s="221"/>
      <c r="B92" s="221"/>
      <c r="C92" s="268"/>
      <c r="D92" s="268"/>
      <c r="E92" s="221"/>
      <c r="F92" s="222"/>
      <c r="G92" s="222"/>
    </row>
    <row r="93" spans="1:7">
      <c r="A93" s="221"/>
      <c r="B93" s="221"/>
      <c r="C93" s="268"/>
      <c r="D93" s="268"/>
      <c r="E93" s="221"/>
      <c r="F93" s="222"/>
      <c r="G93" s="222"/>
    </row>
    <row r="94" spans="1:7">
      <c r="A94" s="221"/>
      <c r="B94" s="221"/>
      <c r="C94" s="258"/>
      <c r="D94" s="258"/>
      <c r="E94" s="221"/>
      <c r="F94" s="222"/>
      <c r="G94" s="222"/>
    </row>
    <row r="95" spans="1:7">
      <c r="A95" s="221"/>
      <c r="B95" s="221"/>
      <c r="C95" s="221"/>
      <c r="D95" s="221"/>
      <c r="E95" s="221"/>
      <c r="F95" s="222"/>
      <c r="G95" s="222"/>
    </row>
    <row r="96" spans="1:7">
      <c r="A96" s="221"/>
      <c r="B96" s="221"/>
      <c r="C96" s="221"/>
      <c r="D96" s="258"/>
      <c r="E96" s="221"/>
      <c r="F96" s="222"/>
      <c r="G96" s="222"/>
    </row>
    <row r="97" spans="1:7">
      <c r="A97" s="221"/>
      <c r="B97" s="221"/>
      <c r="C97" s="221"/>
      <c r="D97" s="221"/>
      <c r="E97" s="221"/>
      <c r="F97" s="222"/>
      <c r="G97" s="222"/>
    </row>
    <row r="98" spans="1:7">
      <c r="A98" s="221"/>
      <c r="B98" s="221"/>
      <c r="C98" s="258"/>
      <c r="D98" s="221"/>
      <c r="E98" s="221"/>
      <c r="F98" s="222"/>
      <c r="G98" s="222"/>
    </row>
    <row r="99" spans="1:7">
      <c r="A99" s="221"/>
      <c r="B99" s="221"/>
      <c r="C99" s="221"/>
      <c r="D99" s="221"/>
      <c r="E99" s="221"/>
      <c r="F99" s="222"/>
      <c r="G99" s="222"/>
    </row>
    <row r="100" spans="1:7">
      <c r="A100" s="221"/>
      <c r="B100" s="221"/>
      <c r="C100" s="221"/>
      <c r="D100" s="221"/>
      <c r="E100" s="221"/>
      <c r="F100" s="222"/>
      <c r="G100" s="222"/>
    </row>
    <row r="101" spans="1:7">
      <c r="A101" s="221"/>
      <c r="B101" s="221"/>
      <c r="C101" s="221"/>
      <c r="D101" s="221"/>
      <c r="E101" s="221"/>
      <c r="F101" s="222"/>
      <c r="G101" s="222"/>
    </row>
    <row r="102" spans="1:7">
      <c r="A102" s="221"/>
      <c r="B102" s="221"/>
      <c r="C102" s="221"/>
      <c r="D102" s="221"/>
      <c r="E102" s="221"/>
      <c r="F102" s="222"/>
      <c r="G102" s="222"/>
    </row>
    <row r="103" spans="1:7">
      <c r="A103" s="221"/>
      <c r="B103" s="221"/>
      <c r="C103" s="221"/>
      <c r="D103" s="221"/>
      <c r="E103" s="221"/>
      <c r="F103" s="222"/>
      <c r="G103" s="222"/>
    </row>
    <row r="104" spans="1:7">
      <c r="A104" s="221"/>
      <c r="B104" s="221"/>
      <c r="C104" s="221"/>
      <c r="D104" s="221"/>
      <c r="E104" s="221"/>
      <c r="F104" s="222"/>
      <c r="G104" s="222"/>
    </row>
    <row r="105" spans="1:7">
      <c r="A105" s="221"/>
      <c r="B105" s="221"/>
      <c r="C105" s="221"/>
      <c r="D105" s="221"/>
      <c r="E105" s="221"/>
      <c r="F105" s="222"/>
      <c r="G105" s="222"/>
    </row>
    <row r="106" spans="1:7">
      <c r="A106" s="221"/>
      <c r="B106" s="221"/>
      <c r="C106" s="221"/>
      <c r="D106" s="221"/>
      <c r="E106" s="221"/>
      <c r="F106" s="222"/>
      <c r="G106" s="222"/>
    </row>
    <row r="107" spans="1:7">
      <c r="A107" s="221"/>
      <c r="B107" s="221"/>
      <c r="C107" s="221"/>
      <c r="D107" s="221"/>
      <c r="E107" s="221"/>
      <c r="F107" s="222"/>
      <c r="G107" s="222"/>
    </row>
    <row r="108" spans="1:7">
      <c r="A108" s="221"/>
      <c r="B108" s="221"/>
      <c r="C108" s="221"/>
      <c r="D108" s="221"/>
      <c r="E108" s="221"/>
      <c r="F108" s="222"/>
      <c r="G108" s="222"/>
    </row>
    <row r="109" spans="1:7">
      <c r="A109" s="221"/>
      <c r="B109" s="221"/>
      <c r="C109" s="221"/>
      <c r="D109" s="221"/>
      <c r="E109" s="221"/>
      <c r="F109" s="222"/>
      <c r="G109" s="222"/>
    </row>
    <row r="110" spans="1:7">
      <c r="A110" s="221"/>
      <c r="B110" s="221"/>
      <c r="C110" s="221"/>
      <c r="D110" s="221"/>
      <c r="E110" s="221"/>
      <c r="F110" s="222"/>
      <c r="G110" s="222"/>
    </row>
    <row r="111" spans="1:7">
      <c r="A111" s="221"/>
      <c r="B111" s="221"/>
      <c r="C111" s="221"/>
      <c r="D111" s="221"/>
      <c r="E111" s="221"/>
      <c r="F111" s="222"/>
      <c r="G111" s="222"/>
    </row>
    <row r="112" spans="1:7">
      <c r="A112" s="221"/>
      <c r="B112" s="221"/>
      <c r="C112" s="221"/>
      <c r="D112" s="221"/>
      <c r="E112" s="221"/>
      <c r="F112" s="222"/>
      <c r="G112" s="222"/>
    </row>
    <row r="113" spans="1:7">
      <c r="A113" s="221"/>
      <c r="B113" s="221"/>
      <c r="C113" s="221"/>
      <c r="D113" s="221"/>
      <c r="E113" s="221"/>
      <c r="F113" s="222"/>
      <c r="G113" s="222"/>
    </row>
    <row r="114" spans="1:7">
      <c r="A114" s="221"/>
      <c r="B114" s="221"/>
      <c r="C114" s="221"/>
      <c r="D114" s="221"/>
      <c r="E114" s="221"/>
      <c r="F114" s="222"/>
      <c r="G114" s="222"/>
    </row>
    <row r="115" spans="1:7">
      <c r="A115" s="221"/>
      <c r="B115" s="221"/>
      <c r="C115" s="221"/>
      <c r="D115" s="221"/>
      <c r="E115" s="221"/>
      <c r="F115" s="222"/>
      <c r="G115" s="222"/>
    </row>
    <row r="116" spans="1:7">
      <c r="A116" s="221"/>
      <c r="B116" s="221"/>
      <c r="C116" s="221"/>
      <c r="D116" s="221"/>
      <c r="E116" s="221"/>
      <c r="F116" s="222"/>
      <c r="G116" s="222"/>
    </row>
    <row r="117" spans="1:7">
      <c r="A117" s="221"/>
      <c r="B117" s="221"/>
      <c r="C117" s="221"/>
      <c r="D117" s="221"/>
      <c r="E117" s="221"/>
      <c r="F117" s="222"/>
      <c r="G117" s="222"/>
    </row>
    <row r="118" spans="1:7">
      <c r="A118" s="221"/>
      <c r="B118" s="221"/>
      <c r="C118" s="221"/>
      <c r="D118" s="221"/>
      <c r="E118" s="221"/>
      <c r="F118" s="222"/>
      <c r="G118" s="222"/>
    </row>
    <row r="119" spans="1:7">
      <c r="A119" s="221"/>
      <c r="B119" s="221"/>
      <c r="C119" s="221"/>
      <c r="D119" s="221"/>
      <c r="E119" s="221"/>
      <c r="F119" s="222"/>
      <c r="G119" s="222"/>
    </row>
    <row r="120" spans="1:7">
      <c r="A120" s="221"/>
      <c r="B120" s="221"/>
      <c r="C120" s="221"/>
      <c r="D120" s="221"/>
      <c r="E120" s="221"/>
      <c r="F120" s="222"/>
      <c r="G120" s="222"/>
    </row>
    <row r="121" spans="1:7">
      <c r="A121" s="221"/>
      <c r="B121" s="221"/>
      <c r="C121" s="221"/>
      <c r="D121" s="221"/>
      <c r="E121" s="221"/>
      <c r="F121" s="222"/>
      <c r="G121" s="222"/>
    </row>
    <row r="122" spans="1:7">
      <c r="A122" s="221"/>
      <c r="B122" s="221"/>
      <c r="C122" s="221"/>
      <c r="D122" s="221"/>
      <c r="E122" s="221"/>
      <c r="F122" s="222"/>
      <c r="G122" s="222"/>
    </row>
    <row r="123" spans="1:7">
      <c r="A123" s="221"/>
      <c r="B123" s="221"/>
      <c r="C123" s="221"/>
      <c r="D123" s="221"/>
      <c r="E123" s="221"/>
      <c r="F123" s="222"/>
      <c r="G123" s="222"/>
    </row>
    <row r="124" spans="1:7">
      <c r="A124" s="221"/>
      <c r="B124" s="221"/>
      <c r="C124" s="221"/>
      <c r="D124" s="221"/>
      <c r="E124" s="221"/>
      <c r="F124" s="222"/>
      <c r="G124" s="222"/>
    </row>
    <row r="125" spans="1:7">
      <c r="A125" s="221"/>
      <c r="B125" s="221"/>
      <c r="C125" s="221"/>
      <c r="D125" s="221"/>
      <c r="E125" s="221"/>
      <c r="F125" s="222"/>
      <c r="G125" s="222"/>
    </row>
    <row r="126" spans="1:7">
      <c r="A126" s="221"/>
      <c r="B126" s="221"/>
      <c r="C126" s="221"/>
      <c r="D126" s="221"/>
      <c r="E126" s="221"/>
      <c r="F126" s="222"/>
      <c r="G126" s="222"/>
    </row>
    <row r="127" spans="1:7">
      <c r="A127" s="221"/>
      <c r="B127" s="221"/>
      <c r="C127" s="221"/>
      <c r="D127" s="221"/>
      <c r="E127" s="221"/>
      <c r="F127" s="222"/>
      <c r="G127" s="222"/>
    </row>
    <row r="128" spans="1:7">
      <c r="A128" s="221"/>
      <c r="B128" s="221"/>
      <c r="C128" s="221"/>
      <c r="D128" s="221"/>
      <c r="E128" s="221"/>
      <c r="F128" s="222"/>
      <c r="G128" s="222"/>
    </row>
    <row r="129" spans="1:7">
      <c r="A129" s="221"/>
      <c r="B129" s="221"/>
      <c r="C129" s="221"/>
      <c r="D129" s="221"/>
      <c r="E129" s="221"/>
      <c r="F129" s="222"/>
      <c r="G129" s="222"/>
    </row>
    <row r="130" spans="1:7">
      <c r="A130" s="221"/>
      <c r="B130" s="221"/>
      <c r="C130" s="221"/>
      <c r="D130" s="221"/>
      <c r="E130" s="221"/>
      <c r="F130" s="222"/>
      <c r="G130" s="222"/>
    </row>
    <row r="131" spans="1:7">
      <c r="A131" s="221"/>
      <c r="B131" s="221"/>
      <c r="C131" s="221"/>
      <c r="D131" s="221"/>
      <c r="E131" s="221"/>
      <c r="F131" s="222"/>
      <c r="G131" s="222"/>
    </row>
    <row r="132" spans="1:7">
      <c r="A132" s="221"/>
      <c r="B132" s="221"/>
      <c r="C132" s="221"/>
      <c r="D132" s="221"/>
      <c r="E132" s="221"/>
      <c r="F132" s="222"/>
      <c r="G132" s="222"/>
    </row>
    <row r="133" spans="1:7">
      <c r="A133" s="221"/>
      <c r="B133" s="221"/>
      <c r="C133" s="221"/>
      <c r="D133" s="221"/>
      <c r="E133" s="221"/>
      <c r="F133" s="222"/>
      <c r="G133" s="222"/>
    </row>
    <row r="134" spans="1:7">
      <c r="A134" s="221"/>
      <c r="B134" s="221"/>
      <c r="C134" s="221"/>
      <c r="D134" s="221"/>
      <c r="E134" s="221"/>
      <c r="F134" s="222"/>
      <c r="G134" s="222"/>
    </row>
    <row r="135" spans="1:7">
      <c r="A135" s="221"/>
      <c r="B135" s="221"/>
      <c r="C135" s="221"/>
      <c r="D135" s="221"/>
      <c r="E135" s="221"/>
      <c r="F135" s="222"/>
      <c r="G135" s="222"/>
    </row>
    <row r="136" spans="1:7">
      <c r="A136" s="221"/>
      <c r="B136" s="221"/>
      <c r="C136" s="221"/>
      <c r="D136" s="221"/>
      <c r="E136" s="221"/>
      <c r="F136" s="222"/>
      <c r="G136" s="222"/>
    </row>
    <row r="137" spans="1:7">
      <c r="A137" s="221"/>
      <c r="B137" s="221"/>
      <c r="C137" s="221"/>
      <c r="D137" s="221"/>
      <c r="E137" s="221"/>
      <c r="F137" s="222"/>
      <c r="G137" s="222"/>
    </row>
    <row r="138" spans="1:7">
      <c r="A138" s="221"/>
      <c r="B138" s="221"/>
      <c r="C138" s="221"/>
      <c r="D138" s="221"/>
      <c r="E138" s="221"/>
      <c r="F138" s="222"/>
      <c r="G138" s="222"/>
    </row>
    <row r="139" spans="1:7">
      <c r="A139" s="221"/>
      <c r="B139" s="221"/>
      <c r="C139" s="221"/>
      <c r="D139" s="221"/>
      <c r="E139" s="221"/>
      <c r="F139" s="222"/>
      <c r="G139" s="222"/>
    </row>
    <row r="140" spans="1:7">
      <c r="A140" s="221"/>
      <c r="B140" s="221"/>
      <c r="C140" s="221"/>
      <c r="D140" s="221"/>
      <c r="E140" s="221"/>
      <c r="F140" s="222"/>
      <c r="G140" s="222"/>
    </row>
    <row r="141" spans="1:7">
      <c r="A141" s="221"/>
      <c r="B141" s="221"/>
      <c r="C141" s="221"/>
      <c r="D141" s="221"/>
      <c r="E141" s="221"/>
      <c r="F141" s="222"/>
      <c r="G141" s="222"/>
    </row>
    <row r="142" spans="1:7">
      <c r="A142" s="221"/>
      <c r="B142" s="221"/>
      <c r="C142" s="221"/>
      <c r="D142" s="221"/>
      <c r="E142" s="221"/>
      <c r="F142" s="222"/>
      <c r="G142" s="222"/>
    </row>
    <row r="143" spans="1:7">
      <c r="A143" s="221"/>
      <c r="B143" s="221"/>
      <c r="C143" s="221"/>
      <c r="D143" s="221"/>
      <c r="E143" s="221"/>
      <c r="F143" s="222"/>
      <c r="G143" s="222"/>
    </row>
    <row r="144" spans="1:7">
      <c r="A144" s="221"/>
      <c r="B144" s="221"/>
      <c r="C144" s="221"/>
      <c r="D144" s="221"/>
      <c r="E144" s="221"/>
      <c r="F144" s="222"/>
      <c r="G144" s="222"/>
    </row>
    <row r="145" spans="1:7">
      <c r="A145" s="221"/>
      <c r="B145" s="221"/>
      <c r="C145" s="221"/>
      <c r="D145" s="221"/>
      <c r="E145" s="221"/>
      <c r="F145" s="222"/>
      <c r="G145" s="222"/>
    </row>
    <row r="146" spans="1:7">
      <c r="A146" s="221"/>
      <c r="B146" s="221"/>
      <c r="C146" s="221"/>
      <c r="D146" s="221"/>
      <c r="E146" s="221"/>
      <c r="F146" s="222"/>
      <c r="G146" s="222"/>
    </row>
    <row r="147" spans="1:7">
      <c r="A147" s="221"/>
      <c r="B147" s="221"/>
      <c r="C147" s="221"/>
      <c r="D147" s="221"/>
      <c r="E147" s="221"/>
      <c r="F147" s="222"/>
      <c r="G147" s="222"/>
    </row>
    <row r="148" spans="1:7">
      <c r="A148" s="221"/>
      <c r="B148" s="221"/>
      <c r="C148" s="221"/>
      <c r="D148" s="221"/>
      <c r="E148" s="221"/>
      <c r="F148" s="222"/>
      <c r="G148" s="222"/>
    </row>
    <row r="149" spans="1:7">
      <c r="A149" s="221"/>
      <c r="B149" s="221"/>
      <c r="C149" s="221"/>
      <c r="D149" s="221"/>
      <c r="E149" s="221"/>
      <c r="F149" s="222"/>
      <c r="G149" s="222"/>
    </row>
    <row r="150" spans="1:7">
      <c r="A150" s="221"/>
      <c r="B150" s="221"/>
      <c r="C150" s="221"/>
      <c r="D150" s="221"/>
      <c r="E150" s="221"/>
      <c r="F150" s="222"/>
      <c r="G150" s="222"/>
    </row>
    <row r="151" spans="1:7">
      <c r="A151" s="221"/>
      <c r="B151" s="221"/>
      <c r="C151" s="221"/>
      <c r="D151" s="221"/>
      <c r="E151" s="221"/>
      <c r="F151" s="222"/>
      <c r="G151" s="222"/>
    </row>
    <row r="152" spans="1:7">
      <c r="A152" s="221"/>
      <c r="B152" s="221"/>
      <c r="C152" s="221"/>
      <c r="D152" s="221"/>
      <c r="E152" s="221"/>
      <c r="F152" s="222"/>
      <c r="G152" s="222"/>
    </row>
    <row r="153" spans="1:7">
      <c r="A153" s="221"/>
      <c r="B153" s="221"/>
      <c r="C153" s="221"/>
      <c r="D153" s="221"/>
      <c r="E153" s="221"/>
      <c r="F153" s="222"/>
      <c r="G153" s="222"/>
    </row>
    <row r="154" spans="1:7">
      <c r="A154" s="221"/>
      <c r="B154" s="221"/>
      <c r="C154" s="221"/>
      <c r="D154" s="221"/>
      <c r="E154" s="221"/>
      <c r="F154" s="222"/>
      <c r="G154" s="222"/>
    </row>
    <row r="155" spans="1:7">
      <c r="A155" s="221"/>
      <c r="B155" s="221"/>
      <c r="C155" s="221"/>
      <c r="D155" s="221"/>
      <c r="E155" s="221"/>
      <c r="F155" s="222"/>
      <c r="G155" s="222"/>
    </row>
    <row r="156" spans="1:7">
      <c r="A156" s="221"/>
      <c r="B156" s="221"/>
      <c r="C156" s="221"/>
      <c r="D156" s="221"/>
      <c r="E156" s="221"/>
      <c r="F156" s="222"/>
      <c r="G156" s="222"/>
    </row>
    <row r="157" spans="1:7">
      <c r="A157" s="221"/>
      <c r="B157" s="221"/>
      <c r="C157" s="221"/>
      <c r="D157" s="221"/>
      <c r="E157" s="221"/>
      <c r="F157" s="222"/>
      <c r="G157" s="222"/>
    </row>
    <row r="158" spans="1:7">
      <c r="A158" s="221"/>
      <c r="B158" s="221"/>
      <c r="C158" s="221"/>
      <c r="D158" s="221"/>
      <c r="E158" s="221"/>
      <c r="F158" s="222"/>
      <c r="G158" s="222"/>
    </row>
    <row r="159" spans="1:7">
      <c r="A159" s="221"/>
      <c r="B159" s="221"/>
      <c r="C159" s="221"/>
      <c r="D159" s="221"/>
      <c r="E159" s="221"/>
      <c r="F159" s="222"/>
      <c r="G159" s="222"/>
    </row>
    <row r="160" spans="1:7">
      <c r="A160" s="221"/>
      <c r="B160" s="221"/>
      <c r="C160" s="221"/>
      <c r="D160" s="221"/>
      <c r="E160" s="221"/>
      <c r="F160" s="222"/>
      <c r="G160" s="222"/>
    </row>
    <row r="161" spans="1:7">
      <c r="A161" s="221"/>
      <c r="B161" s="221"/>
      <c r="C161" s="221"/>
      <c r="D161" s="221"/>
      <c r="E161" s="221"/>
      <c r="F161" s="222"/>
      <c r="G161" s="222"/>
    </row>
    <row r="162" spans="1:7">
      <c r="A162" s="221"/>
      <c r="B162" s="221"/>
      <c r="C162" s="221"/>
      <c r="D162" s="221"/>
      <c r="E162" s="221"/>
      <c r="F162" s="222"/>
      <c r="G162" s="222"/>
    </row>
    <row r="163" spans="1:7">
      <c r="A163" s="221"/>
      <c r="B163" s="221"/>
      <c r="C163" s="221"/>
      <c r="D163" s="221"/>
      <c r="E163" s="221"/>
      <c r="F163" s="222"/>
      <c r="G163" s="222"/>
    </row>
    <row r="164" spans="1:7">
      <c r="A164" s="221"/>
      <c r="B164" s="221"/>
      <c r="C164" s="221"/>
      <c r="D164" s="221"/>
      <c r="E164" s="221"/>
      <c r="F164" s="222"/>
      <c r="G164" s="222"/>
    </row>
    <row r="165" spans="1:7">
      <c r="A165" s="221"/>
      <c r="B165" s="221"/>
      <c r="C165" s="221"/>
      <c r="D165" s="221"/>
      <c r="E165" s="221"/>
      <c r="F165" s="222"/>
      <c r="G165" s="222"/>
    </row>
    <row r="166" spans="1:7">
      <c r="A166" s="221"/>
      <c r="B166" s="221"/>
      <c r="C166" s="221"/>
      <c r="D166" s="221"/>
      <c r="E166" s="221"/>
      <c r="F166" s="222"/>
      <c r="G166" s="222"/>
    </row>
    <row r="167" spans="1:7">
      <c r="A167" s="221"/>
      <c r="B167" s="221"/>
      <c r="C167" s="221"/>
      <c r="D167" s="221"/>
      <c r="E167" s="221"/>
      <c r="F167" s="222"/>
      <c r="G167" s="222"/>
    </row>
    <row r="168" spans="1:7">
      <c r="A168" s="221"/>
      <c r="B168" s="221"/>
      <c r="C168" s="221"/>
      <c r="D168" s="221"/>
      <c r="E168" s="221"/>
      <c r="F168" s="222"/>
      <c r="G168" s="222"/>
    </row>
    <row r="169" spans="1:7">
      <c r="A169" s="221"/>
      <c r="B169" s="221"/>
      <c r="C169" s="221"/>
      <c r="D169" s="221"/>
      <c r="E169" s="221"/>
      <c r="F169" s="222"/>
      <c r="G169" s="222"/>
    </row>
    <row r="170" spans="1:7">
      <c r="A170" s="221"/>
      <c r="B170" s="221"/>
      <c r="C170" s="221"/>
      <c r="D170" s="221"/>
      <c r="E170" s="221"/>
      <c r="F170" s="222"/>
      <c r="G170" s="222"/>
    </row>
    <row r="171" spans="1:7">
      <c r="A171" s="221"/>
      <c r="B171" s="221"/>
      <c r="C171" s="221"/>
      <c r="D171" s="221"/>
      <c r="E171" s="221"/>
      <c r="F171" s="222"/>
      <c r="G171" s="222"/>
    </row>
    <row r="172" spans="1:7">
      <c r="A172" s="221"/>
      <c r="B172" s="221"/>
      <c r="C172" s="221"/>
      <c r="D172" s="221"/>
      <c r="E172" s="221"/>
      <c r="F172" s="222"/>
      <c r="G172" s="222"/>
    </row>
    <row r="173" spans="1:7">
      <c r="A173" s="221"/>
      <c r="B173" s="221"/>
      <c r="C173" s="221"/>
      <c r="D173" s="221"/>
      <c r="E173" s="221"/>
      <c r="F173" s="222"/>
      <c r="G173" s="222"/>
    </row>
    <row r="174" spans="1:7">
      <c r="A174" s="221"/>
      <c r="B174" s="221"/>
      <c r="C174" s="221"/>
      <c r="D174" s="221"/>
      <c r="E174" s="221"/>
      <c r="F174" s="222"/>
      <c r="G174" s="222"/>
    </row>
    <row r="175" spans="1:7">
      <c r="A175" s="221"/>
      <c r="B175" s="221"/>
      <c r="C175" s="221"/>
      <c r="D175" s="221"/>
      <c r="E175" s="221"/>
      <c r="F175" s="222"/>
      <c r="G175" s="222"/>
    </row>
    <row r="176" spans="1:7">
      <c r="A176" s="221"/>
      <c r="B176" s="221"/>
      <c r="C176" s="221"/>
      <c r="D176" s="221"/>
      <c r="E176" s="221"/>
      <c r="F176" s="222"/>
      <c r="G176" s="222"/>
    </row>
    <row r="177" spans="1:7">
      <c r="A177" s="221"/>
      <c r="B177" s="221"/>
      <c r="C177" s="221"/>
      <c r="D177" s="221"/>
      <c r="E177" s="221"/>
      <c r="F177" s="222"/>
      <c r="G177" s="222"/>
    </row>
    <row r="178" spans="1:7">
      <c r="A178" s="221"/>
      <c r="B178" s="221"/>
      <c r="C178" s="221"/>
      <c r="D178" s="221"/>
      <c r="E178" s="221"/>
      <c r="F178" s="222"/>
      <c r="G178" s="222"/>
    </row>
    <row r="179" spans="1:7">
      <c r="A179" s="221"/>
      <c r="B179" s="221"/>
      <c r="C179" s="221"/>
      <c r="D179" s="221"/>
      <c r="E179" s="221"/>
      <c r="F179" s="222"/>
      <c r="G179" s="222"/>
    </row>
    <row r="180" spans="1:7">
      <c r="A180" s="221"/>
      <c r="B180" s="221"/>
      <c r="C180" s="221"/>
      <c r="D180" s="221"/>
      <c r="E180" s="221"/>
      <c r="F180" s="222"/>
      <c r="G180" s="222"/>
    </row>
    <row r="181" spans="1:7">
      <c r="A181" s="221"/>
      <c r="B181" s="221"/>
      <c r="C181" s="221"/>
      <c r="D181" s="221"/>
      <c r="E181" s="221"/>
      <c r="F181" s="222"/>
      <c r="G181" s="222"/>
    </row>
    <row r="182" spans="1:7">
      <c r="A182" s="221"/>
      <c r="B182" s="221"/>
      <c r="C182" s="221"/>
      <c r="D182" s="221"/>
      <c r="E182" s="221"/>
      <c r="F182" s="222"/>
      <c r="G182" s="222"/>
    </row>
    <row r="183" spans="1:7">
      <c r="A183" s="221"/>
      <c r="B183" s="221"/>
      <c r="C183" s="221"/>
      <c r="D183" s="221"/>
      <c r="E183" s="221"/>
      <c r="F183" s="222"/>
      <c r="G183" s="222"/>
    </row>
    <row r="184" spans="1:7">
      <c r="A184" s="221"/>
      <c r="B184" s="221"/>
      <c r="C184" s="221"/>
      <c r="D184" s="221"/>
      <c r="E184" s="221"/>
      <c r="F184" s="222"/>
      <c r="G184" s="222"/>
    </row>
    <row r="185" spans="1:7">
      <c r="A185" s="221"/>
      <c r="B185" s="221"/>
      <c r="C185" s="221"/>
      <c r="D185" s="221"/>
      <c r="E185" s="221"/>
      <c r="F185" s="222"/>
      <c r="G185" s="222"/>
    </row>
    <row r="186" spans="1:7">
      <c r="A186" s="221"/>
      <c r="B186" s="221"/>
      <c r="C186" s="221"/>
      <c r="D186" s="221"/>
      <c r="E186" s="221"/>
      <c r="F186" s="222"/>
      <c r="G186" s="222"/>
    </row>
    <row r="187" spans="1:7">
      <c r="A187" s="221"/>
      <c r="B187" s="221"/>
      <c r="C187" s="221"/>
      <c r="D187" s="221"/>
      <c r="E187" s="221"/>
      <c r="F187" s="222"/>
      <c r="G187" s="222"/>
    </row>
    <row r="188" spans="1:7">
      <c r="A188" s="221"/>
      <c r="B188" s="221"/>
      <c r="C188" s="221"/>
      <c r="D188" s="221"/>
      <c r="E188" s="221"/>
      <c r="F188" s="222"/>
      <c r="G188" s="222"/>
    </row>
    <row r="189" spans="1:7">
      <c r="A189" s="221"/>
      <c r="B189" s="221"/>
      <c r="C189" s="221"/>
      <c r="D189" s="221"/>
      <c r="E189" s="221"/>
      <c r="F189" s="222"/>
      <c r="G189" s="222"/>
    </row>
    <row r="190" spans="1:7">
      <c r="A190" s="221"/>
      <c r="B190" s="221"/>
      <c r="C190" s="221"/>
      <c r="D190" s="221"/>
      <c r="E190" s="221"/>
      <c r="F190" s="222"/>
      <c r="G190" s="222"/>
    </row>
    <row r="191" spans="1:7">
      <c r="A191" s="221"/>
      <c r="B191" s="221"/>
      <c r="C191" s="221"/>
      <c r="D191" s="221"/>
      <c r="E191" s="221"/>
      <c r="F191" s="222"/>
      <c r="G191" s="222"/>
    </row>
    <row r="192" spans="1:7">
      <c r="A192" s="221"/>
      <c r="B192" s="221"/>
      <c r="C192" s="221"/>
      <c r="D192" s="221"/>
      <c r="E192" s="221"/>
      <c r="F192" s="222"/>
      <c r="G192" s="222"/>
    </row>
    <row r="193" spans="1:7">
      <c r="A193" s="221"/>
      <c r="B193" s="221"/>
      <c r="C193" s="221"/>
      <c r="D193" s="221"/>
      <c r="E193" s="221"/>
      <c r="F193" s="222"/>
      <c r="G193" s="222"/>
    </row>
    <row r="194" spans="1:7">
      <c r="A194" s="221"/>
      <c r="B194" s="221"/>
      <c r="C194" s="221"/>
      <c r="D194" s="221"/>
      <c r="E194" s="221"/>
      <c r="F194" s="222"/>
      <c r="G194" s="222"/>
    </row>
    <row r="195" spans="1:7">
      <c r="A195" s="221"/>
      <c r="B195" s="221"/>
      <c r="C195" s="221"/>
      <c r="D195" s="221"/>
      <c r="E195" s="221"/>
      <c r="F195" s="222"/>
      <c r="G195" s="222"/>
    </row>
    <row r="196" spans="1:7">
      <c r="A196" s="221"/>
      <c r="B196" s="221"/>
      <c r="C196" s="221"/>
      <c r="D196" s="221"/>
      <c r="E196" s="221"/>
      <c r="F196" s="222"/>
      <c r="G196" s="222"/>
    </row>
    <row r="197" spans="1:7">
      <c r="A197" s="221"/>
      <c r="B197" s="221"/>
      <c r="C197" s="221"/>
      <c r="D197" s="221"/>
      <c r="E197" s="221"/>
      <c r="F197" s="222"/>
      <c r="G197" s="222"/>
    </row>
    <row r="198" spans="1:7">
      <c r="A198" s="221"/>
      <c r="B198" s="221"/>
      <c r="C198" s="221"/>
      <c r="D198" s="221"/>
      <c r="E198" s="221"/>
      <c r="F198" s="222"/>
      <c r="G198" s="222"/>
    </row>
    <row r="199" spans="1:7">
      <c r="A199" s="221"/>
      <c r="B199" s="221"/>
      <c r="C199" s="221"/>
      <c r="D199" s="221"/>
      <c r="E199" s="221"/>
      <c r="F199" s="222"/>
      <c r="G199" s="222"/>
    </row>
    <row r="200" spans="1:7">
      <c r="A200" s="221"/>
      <c r="B200" s="221"/>
      <c r="C200" s="221"/>
      <c r="D200" s="221"/>
      <c r="E200" s="221"/>
      <c r="F200" s="222"/>
      <c r="G200" s="222"/>
    </row>
    <row r="201" spans="1:7">
      <c r="A201" s="221"/>
      <c r="B201" s="221"/>
      <c r="C201" s="221"/>
      <c r="D201" s="221"/>
      <c r="E201" s="221"/>
      <c r="F201" s="222"/>
      <c r="G201" s="222"/>
    </row>
    <row r="202" spans="1:7">
      <c r="A202" s="221"/>
      <c r="B202" s="221"/>
      <c r="C202" s="221"/>
      <c r="D202" s="221"/>
      <c r="E202" s="221"/>
      <c r="F202" s="222"/>
      <c r="G202" s="222"/>
    </row>
    <row r="203" spans="1:7">
      <c r="A203" s="221"/>
      <c r="B203" s="221"/>
      <c r="C203" s="221"/>
      <c r="D203" s="221"/>
      <c r="E203" s="221"/>
      <c r="F203" s="222"/>
      <c r="G203" s="222"/>
    </row>
    <row r="204" spans="1:7">
      <c r="A204" s="221"/>
      <c r="B204" s="221"/>
      <c r="C204" s="221"/>
      <c r="D204" s="221"/>
      <c r="E204" s="221"/>
      <c r="F204" s="222"/>
      <c r="G204" s="222"/>
    </row>
    <row r="205" spans="1:7">
      <c r="A205" s="221"/>
      <c r="B205" s="221"/>
      <c r="C205" s="221"/>
      <c r="D205" s="221"/>
      <c r="E205" s="221"/>
      <c r="F205" s="222"/>
      <c r="G205" s="222"/>
    </row>
    <row r="206" spans="1:7">
      <c r="A206" s="221"/>
      <c r="B206" s="221"/>
      <c r="C206" s="221"/>
      <c r="D206" s="221"/>
      <c r="E206" s="221"/>
      <c r="F206" s="222"/>
      <c r="G206" s="222"/>
    </row>
    <row r="207" spans="1:7">
      <c r="A207" s="221"/>
      <c r="B207" s="221"/>
      <c r="C207" s="221"/>
      <c r="D207" s="221"/>
      <c r="E207" s="221"/>
      <c r="F207" s="222"/>
      <c r="G207" s="222"/>
    </row>
    <row r="208" spans="1:7">
      <c r="A208" s="221"/>
      <c r="B208" s="221"/>
      <c r="C208" s="221"/>
      <c r="D208" s="221"/>
      <c r="E208" s="221"/>
      <c r="F208" s="222"/>
      <c r="G208" s="222"/>
    </row>
    <row r="209" spans="1:7">
      <c r="A209" s="221"/>
      <c r="B209" s="221"/>
      <c r="C209" s="221"/>
      <c r="D209" s="221"/>
      <c r="E209" s="221"/>
      <c r="F209" s="222"/>
      <c r="G209" s="222"/>
    </row>
    <row r="210" spans="1:7">
      <c r="A210" s="221"/>
      <c r="B210" s="221"/>
      <c r="C210" s="221"/>
      <c r="D210" s="221"/>
      <c r="E210" s="221"/>
      <c r="F210" s="222"/>
      <c r="G210" s="222"/>
    </row>
    <row r="211" spans="1:7">
      <c r="A211" s="221"/>
      <c r="B211" s="221"/>
      <c r="C211" s="221"/>
      <c r="D211" s="221"/>
      <c r="E211" s="221"/>
      <c r="F211" s="222"/>
      <c r="G211" s="222"/>
    </row>
    <row r="212" spans="1:7">
      <c r="A212" s="221"/>
      <c r="B212" s="221"/>
      <c r="C212" s="221"/>
      <c r="D212" s="221"/>
      <c r="E212" s="221"/>
      <c r="F212" s="222"/>
      <c r="G212" s="222"/>
    </row>
    <row r="213" spans="1:7">
      <c r="A213" s="221"/>
      <c r="B213" s="221"/>
      <c r="C213" s="221"/>
      <c r="D213" s="221"/>
      <c r="E213" s="221"/>
      <c r="F213" s="222"/>
      <c r="G213" s="222"/>
    </row>
    <row r="214" spans="1:7">
      <c r="A214" s="221"/>
      <c r="B214" s="221"/>
      <c r="C214" s="221"/>
      <c r="D214" s="221"/>
      <c r="E214" s="221"/>
      <c r="F214" s="222"/>
      <c r="G214" s="222"/>
    </row>
    <row r="215" spans="1:7">
      <c r="A215" s="221"/>
      <c r="B215" s="221"/>
      <c r="C215" s="221"/>
      <c r="D215" s="221"/>
      <c r="E215" s="221"/>
      <c r="F215" s="222"/>
      <c r="G215" s="222"/>
    </row>
    <row r="216" spans="1:7">
      <c r="A216" s="221"/>
      <c r="B216" s="221"/>
      <c r="C216" s="221"/>
      <c r="D216" s="221"/>
      <c r="E216" s="221"/>
      <c r="F216" s="222"/>
      <c r="G216" s="222"/>
    </row>
    <row r="217" spans="1:7">
      <c r="A217" s="221"/>
      <c r="B217" s="221"/>
      <c r="C217" s="221"/>
      <c r="D217" s="221"/>
      <c r="E217" s="221"/>
      <c r="F217" s="222"/>
      <c r="G217" s="222"/>
    </row>
    <row r="218" spans="1:7">
      <c r="A218" s="221"/>
      <c r="B218" s="221"/>
      <c r="C218" s="221"/>
      <c r="D218" s="221"/>
      <c r="E218" s="221"/>
      <c r="F218" s="222"/>
      <c r="G218" s="222"/>
    </row>
    <row r="219" spans="1:7">
      <c r="A219" s="221"/>
      <c r="B219" s="221"/>
      <c r="C219" s="221"/>
      <c r="D219" s="221"/>
      <c r="E219" s="221"/>
      <c r="F219" s="222"/>
      <c r="G219" s="222"/>
    </row>
    <row r="220" spans="1:7">
      <c r="A220" s="221"/>
      <c r="B220" s="221"/>
      <c r="C220" s="221"/>
      <c r="D220" s="221"/>
      <c r="E220" s="221"/>
      <c r="F220" s="222"/>
      <c r="G220" s="222"/>
    </row>
    <row r="221" spans="1:7">
      <c r="A221" s="221"/>
      <c r="B221" s="221"/>
      <c r="C221" s="221"/>
      <c r="D221" s="221"/>
      <c r="E221" s="221"/>
      <c r="F221" s="222"/>
      <c r="G221" s="222"/>
    </row>
    <row r="222" spans="1:7">
      <c r="A222" s="221"/>
      <c r="B222" s="221"/>
      <c r="C222" s="221"/>
      <c r="D222" s="221"/>
      <c r="E222" s="221"/>
      <c r="F222" s="222"/>
      <c r="G222" s="222"/>
    </row>
    <row r="223" spans="1:7">
      <c r="A223" s="221"/>
      <c r="B223" s="221"/>
      <c r="C223" s="221"/>
      <c r="D223" s="221"/>
      <c r="E223" s="221"/>
      <c r="F223" s="222"/>
      <c r="G223" s="222"/>
    </row>
    <row r="224" spans="1:7">
      <c r="A224" s="221"/>
      <c r="B224" s="221"/>
      <c r="C224" s="221"/>
      <c r="D224" s="221"/>
      <c r="E224" s="221"/>
      <c r="F224" s="222"/>
      <c r="G224" s="222"/>
    </row>
    <row r="225" spans="1:7">
      <c r="A225" s="221"/>
      <c r="B225" s="221"/>
      <c r="C225" s="221"/>
      <c r="D225" s="221"/>
      <c r="E225" s="221"/>
      <c r="F225" s="222"/>
      <c r="G225" s="222"/>
    </row>
    <row r="226" spans="1:7">
      <c r="A226" s="221"/>
      <c r="B226" s="221"/>
      <c r="C226" s="221"/>
      <c r="D226" s="221"/>
      <c r="E226" s="221"/>
      <c r="F226" s="222"/>
      <c r="G226" s="222"/>
    </row>
    <row r="227" spans="1:7">
      <c r="A227" s="221"/>
      <c r="B227" s="221"/>
      <c r="C227" s="221"/>
      <c r="D227" s="221"/>
      <c r="E227" s="221"/>
      <c r="F227" s="222"/>
      <c r="G227" s="222"/>
    </row>
    <row r="228" spans="1:7">
      <c r="A228" s="221"/>
      <c r="B228" s="221"/>
      <c r="C228" s="221"/>
      <c r="D228" s="221"/>
      <c r="E228" s="221"/>
      <c r="F228" s="222"/>
      <c r="G228" s="222"/>
    </row>
    <row r="229" spans="1:7">
      <c r="A229" s="221"/>
      <c r="B229" s="221"/>
      <c r="C229" s="221"/>
      <c r="D229" s="221"/>
      <c r="E229" s="221"/>
      <c r="F229" s="222"/>
      <c r="G229" s="222"/>
    </row>
    <row r="230" spans="1:7">
      <c r="A230" s="221"/>
      <c r="B230" s="221"/>
      <c r="C230" s="221"/>
      <c r="D230" s="221"/>
      <c r="E230" s="221"/>
      <c r="F230" s="222"/>
      <c r="G230" s="222"/>
    </row>
    <row r="231" spans="1:7">
      <c r="A231" s="221"/>
      <c r="B231" s="221"/>
      <c r="C231" s="221"/>
      <c r="D231" s="221"/>
      <c r="E231" s="221"/>
      <c r="F231" s="222"/>
      <c r="G231" s="222"/>
    </row>
    <row r="232" spans="1:7">
      <c r="A232" s="221"/>
      <c r="B232" s="221"/>
      <c r="C232" s="221"/>
      <c r="D232" s="221"/>
      <c r="E232" s="221"/>
      <c r="F232" s="222"/>
      <c r="G232" s="222"/>
    </row>
    <row r="233" spans="1:7">
      <c r="A233" s="221"/>
      <c r="B233" s="221"/>
      <c r="C233" s="221"/>
      <c r="D233" s="221"/>
      <c r="E233" s="221"/>
      <c r="F233" s="222"/>
      <c r="G233" s="222"/>
    </row>
    <row r="234" spans="1:7">
      <c r="A234" s="221"/>
      <c r="B234" s="221"/>
      <c r="C234" s="221"/>
      <c r="D234" s="221"/>
      <c r="E234" s="221"/>
      <c r="F234" s="222"/>
      <c r="G234" s="222"/>
    </row>
    <row r="235" spans="1:7">
      <c r="A235" s="221"/>
      <c r="B235" s="221"/>
      <c r="C235" s="221"/>
      <c r="D235" s="221"/>
      <c r="E235" s="221"/>
      <c r="F235" s="222"/>
      <c r="G235" s="222"/>
    </row>
    <row r="236" spans="1:7">
      <c r="A236" s="221"/>
      <c r="B236" s="221"/>
      <c r="C236" s="221"/>
      <c r="D236" s="221"/>
      <c r="E236" s="221"/>
      <c r="F236" s="222"/>
      <c r="G236" s="222"/>
    </row>
    <row r="237" spans="1:7">
      <c r="A237" s="221"/>
      <c r="B237" s="221"/>
      <c r="C237" s="221"/>
      <c r="D237" s="221"/>
      <c r="E237" s="221"/>
      <c r="F237" s="222"/>
      <c r="G237" s="222"/>
    </row>
    <row r="238" spans="1:7">
      <c r="A238" s="221"/>
      <c r="B238" s="221"/>
      <c r="C238" s="221"/>
      <c r="D238" s="221"/>
      <c r="E238" s="221"/>
      <c r="F238" s="222"/>
      <c r="G238" s="222"/>
    </row>
    <row r="239" spans="1:7">
      <c r="A239" s="221"/>
      <c r="B239" s="221"/>
      <c r="C239" s="221"/>
      <c r="D239" s="221"/>
      <c r="E239" s="221"/>
      <c r="F239" s="222"/>
      <c r="G239" s="222"/>
    </row>
    <row r="240" spans="1:7">
      <c r="A240" s="221"/>
      <c r="B240" s="221"/>
      <c r="C240" s="221"/>
      <c r="D240" s="221"/>
      <c r="E240" s="221"/>
      <c r="F240" s="222"/>
      <c r="G240" s="222"/>
    </row>
    <row r="241" spans="1:7">
      <c r="A241" s="221"/>
      <c r="B241" s="221"/>
      <c r="C241" s="221"/>
      <c r="D241" s="221"/>
      <c r="E241" s="221"/>
      <c r="F241" s="222"/>
      <c r="G241" s="222"/>
    </row>
    <row r="242" spans="1:7">
      <c r="A242" s="221"/>
      <c r="B242" s="221"/>
      <c r="C242" s="221"/>
      <c r="D242" s="221"/>
      <c r="E242" s="221"/>
      <c r="F242" s="222"/>
      <c r="G242" s="222"/>
    </row>
    <row r="243" spans="1:7">
      <c r="A243" s="221"/>
      <c r="B243" s="221"/>
      <c r="C243" s="221"/>
      <c r="D243" s="221"/>
      <c r="E243" s="221"/>
      <c r="F243" s="222"/>
      <c r="G243" s="222"/>
    </row>
    <row r="244" spans="1:7">
      <c r="A244" s="221"/>
      <c r="B244" s="221"/>
      <c r="C244" s="221"/>
      <c r="D244" s="221"/>
      <c r="E244" s="221"/>
    </row>
    <row r="245" spans="1:7">
      <c r="A245" s="221"/>
      <c r="B245" s="221"/>
      <c r="C245" s="221"/>
      <c r="D245" s="221"/>
      <c r="E245" s="221"/>
    </row>
    <row r="246" spans="1:7">
      <c r="A246" s="221"/>
      <c r="B246" s="221"/>
      <c r="C246" s="221"/>
      <c r="D246" s="221"/>
      <c r="E246" s="221"/>
    </row>
    <row r="247" spans="1:7">
      <c r="A247" s="221"/>
      <c r="B247" s="221"/>
      <c r="C247" s="221"/>
      <c r="D247" s="221"/>
      <c r="E247" s="221"/>
    </row>
    <row r="248" spans="1:7">
      <c r="A248" s="221"/>
      <c r="B248" s="221"/>
      <c r="C248" s="221"/>
      <c r="D248" s="221"/>
      <c r="E248" s="221"/>
    </row>
    <row r="249" spans="1:7">
      <c r="A249" s="221"/>
      <c r="B249" s="221"/>
      <c r="C249" s="221"/>
      <c r="D249" s="221"/>
      <c r="E249" s="221"/>
    </row>
    <row r="250" spans="1:7">
      <c r="A250" s="221"/>
      <c r="B250" s="221"/>
      <c r="C250" s="221"/>
      <c r="D250" s="221"/>
      <c r="E250" s="221"/>
    </row>
    <row r="251" spans="1:7">
      <c r="A251" s="221"/>
      <c r="B251" s="221"/>
      <c r="C251" s="221"/>
      <c r="D251" s="221"/>
      <c r="E251" s="221"/>
    </row>
    <row r="252" spans="1:7">
      <c r="A252" s="221"/>
      <c r="B252" s="221"/>
      <c r="C252" s="221"/>
      <c r="D252" s="221"/>
      <c r="E252" s="221"/>
    </row>
  </sheetData>
  <mergeCells count="10">
    <mergeCell ref="A2:C2"/>
    <mergeCell ref="B4:D4"/>
    <mergeCell ref="B11:C11"/>
    <mergeCell ref="D27:E27"/>
    <mergeCell ref="D28:E28"/>
    <mergeCell ref="H30:H31"/>
    <mergeCell ref="G49:G50"/>
    <mergeCell ref="F49:F50"/>
    <mergeCell ref="F30:G31"/>
    <mergeCell ref="F42:G42"/>
  </mergeCells>
  <phoneticPr fontId="3" type="noConversion"/>
  <conditionalFormatting sqref="F12:G13 G14 G26">
    <cfRule type="expression" dxfId="3" priority="8" stopIfTrue="1">
      <formula>$D$13="SI"</formula>
    </cfRule>
  </conditionalFormatting>
  <conditionalFormatting sqref="F14:F17">
    <cfRule type="expression" dxfId="2" priority="3" stopIfTrue="1">
      <formula>$D$13="SI"</formula>
    </cfRule>
  </conditionalFormatting>
  <conditionalFormatting sqref="G11">
    <cfRule type="expression" dxfId="1" priority="2" stopIfTrue="1">
      <formula>$D$13="SI"</formula>
    </cfRule>
  </conditionalFormatting>
  <conditionalFormatting sqref="F11">
    <cfRule type="expression" dxfId="0" priority="1" stopIfTrue="1">
      <formula>$D$13="SI"</formula>
    </cfRule>
  </conditionalFormatting>
  <pageMargins left="0.75" right="0.75" top="1" bottom="1" header="0.5" footer="0.5"/>
  <pageSetup scale="6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B1:I105"/>
  <sheetViews>
    <sheetView showGridLines="0" view="pageBreakPreview" zoomScale="80" zoomScaleNormal="100" workbookViewId="0">
      <selection activeCell="B11" sqref="B11:C11"/>
    </sheetView>
  </sheetViews>
  <sheetFormatPr baseColWidth="10" defaultColWidth="9.140625" defaultRowHeight="12.75" customHeight="1" zeroHeight="1"/>
  <cols>
    <col min="1" max="1" width="2.85546875" customWidth="1"/>
    <col min="2" max="2" width="17.28515625" style="42" customWidth="1"/>
    <col min="3" max="3" width="10.5703125" style="42" customWidth="1"/>
    <col min="4" max="4" width="11.7109375" style="42" customWidth="1"/>
    <col min="5" max="5" width="11" style="42" customWidth="1"/>
    <col min="6" max="6" width="9" style="42" customWidth="1"/>
    <col min="7" max="7" width="11.42578125" style="36" customWidth="1"/>
    <col min="8" max="8" width="9.140625" style="31" customWidth="1"/>
  </cols>
  <sheetData>
    <row r="1" spans="2:8" s="40" customFormat="1" ht="20.25" customHeight="1">
      <c r="B1" s="615" t="s">
        <v>88</v>
      </c>
      <c r="C1" s="615"/>
      <c r="D1" s="615"/>
      <c r="E1" s="615"/>
      <c r="F1" s="615"/>
      <c r="G1" s="615"/>
      <c r="H1" s="615"/>
    </row>
    <row r="2" spans="2:8" s="40" customFormat="1" ht="12.75" customHeight="1">
      <c r="B2" s="615"/>
      <c r="C2" s="615"/>
      <c r="D2" s="615"/>
      <c r="E2" s="615"/>
      <c r="F2" s="615"/>
      <c r="G2" s="615"/>
      <c r="H2" s="615"/>
    </row>
    <row r="3" spans="2:8" s="40" customFormat="1">
      <c r="B3" s="479" t="s">
        <v>16</v>
      </c>
      <c r="C3" s="63"/>
      <c r="D3" s="506" t="str">
        <f>FINIQUITO!B4</f>
        <v>SOCIALAND MEDIA SOLUTIONS</v>
      </c>
      <c r="E3" s="64"/>
      <c r="F3" s="64"/>
      <c r="G3" s="65"/>
      <c r="H3" s="41"/>
    </row>
    <row r="4" spans="2:8" s="40" customFormat="1">
      <c r="B4" s="59"/>
      <c r="C4" s="60"/>
      <c r="D4" s="38"/>
      <c r="E4" s="38"/>
      <c r="F4" s="38"/>
      <c r="G4" s="39"/>
      <c r="H4" s="41"/>
    </row>
    <row r="5" spans="2:8" s="40" customFormat="1" ht="27">
      <c r="B5" s="61" t="s">
        <v>68</v>
      </c>
      <c r="C5" s="62"/>
      <c r="D5" s="35"/>
      <c r="E5" s="35"/>
      <c r="F5" s="37"/>
      <c r="G5" s="48"/>
      <c r="H5" s="41"/>
    </row>
    <row r="6" spans="2:8" s="40" customFormat="1">
      <c r="B6" s="290"/>
      <c r="C6" s="1"/>
      <c r="D6" s="33"/>
      <c r="E6" s="33"/>
      <c r="F6" s="34"/>
      <c r="G6" s="48"/>
      <c r="H6" s="41"/>
    </row>
    <row r="7" spans="2:8" s="40" customFormat="1">
      <c r="B7" s="66" t="s">
        <v>69</v>
      </c>
      <c r="C7" s="192">
        <f>+FINIQUITO!B21</f>
        <v>835.75</v>
      </c>
      <c r="D7" s="67"/>
      <c r="E7" s="67"/>
      <c r="F7" s="68"/>
      <c r="G7" s="69"/>
      <c r="H7" s="41"/>
    </row>
    <row r="8" spans="2:8" s="40" customFormat="1">
      <c r="B8" s="66" t="s">
        <v>34</v>
      </c>
      <c r="C8" s="271">
        <f>+FINIQUITO!E21</f>
        <v>15</v>
      </c>
      <c r="D8" s="70"/>
      <c r="E8" s="70"/>
      <c r="F8" s="170"/>
      <c r="G8" s="69"/>
      <c r="H8" s="41"/>
    </row>
    <row r="9" spans="2:8" s="40" customFormat="1">
      <c r="B9" s="66" t="s">
        <v>87</v>
      </c>
      <c r="C9" s="454">
        <f>FINIQUITO!D6</f>
        <v>5.0000000000000001E-4</v>
      </c>
      <c r="D9" s="73"/>
      <c r="E9" s="73"/>
      <c r="F9" s="74"/>
      <c r="G9" s="69"/>
      <c r="H9" s="41"/>
    </row>
    <row r="10" spans="2:8" s="40" customFormat="1">
      <c r="B10" s="86" t="s">
        <v>163</v>
      </c>
      <c r="C10" s="121">
        <f>FINIQUITO!G6</f>
        <v>80.599999999999994</v>
      </c>
      <c r="D10" s="73"/>
      <c r="E10" s="73" t="s">
        <v>15</v>
      </c>
      <c r="F10" s="74"/>
      <c r="G10" s="69"/>
      <c r="H10" s="41"/>
    </row>
    <row r="11" spans="2:8" s="40" customFormat="1">
      <c r="B11" s="71"/>
      <c r="C11" s="72"/>
      <c r="D11" s="73"/>
      <c r="E11" s="73"/>
      <c r="F11" s="74"/>
      <c r="G11" s="69"/>
      <c r="H11" s="41"/>
    </row>
    <row r="12" spans="2:8" s="40" customFormat="1">
      <c r="B12" s="66" t="s">
        <v>70</v>
      </c>
      <c r="C12" s="75" t="s">
        <v>71</v>
      </c>
      <c r="D12" s="76"/>
      <c r="E12" s="77"/>
      <c r="F12" s="78" t="s">
        <v>72</v>
      </c>
      <c r="G12" s="78" t="s">
        <v>30</v>
      </c>
      <c r="H12" s="41"/>
    </row>
    <row r="13" spans="2:8" s="40" customFormat="1">
      <c r="B13" s="79" t="s">
        <v>27</v>
      </c>
      <c r="C13" s="122">
        <f>+C10*3</f>
        <v>241.79999999999998</v>
      </c>
      <c r="D13" s="122">
        <f>+C10*25</f>
        <v>2014.9999999999998</v>
      </c>
      <c r="E13" s="123">
        <f>+C10*25</f>
        <v>2014.9999999999998</v>
      </c>
      <c r="F13" s="80" t="s">
        <v>73</v>
      </c>
      <c r="G13" s="80"/>
      <c r="H13" s="41"/>
    </row>
    <row r="14" spans="2:8" s="40" customFormat="1">
      <c r="B14" s="81" t="s">
        <v>74</v>
      </c>
      <c r="C14" s="82">
        <f>IF($C$7&gt;$C$13,($C$7-$C$13)*$F$14*$C$8,0)</f>
        <v>35.637000000000008</v>
      </c>
      <c r="D14" s="83"/>
      <c r="E14" s="84" t="s">
        <v>15</v>
      </c>
      <c r="F14" s="85">
        <v>4.0000000000000001E-3</v>
      </c>
      <c r="G14" s="124">
        <f>SUM(C14:E14)</f>
        <v>35.637000000000008</v>
      </c>
      <c r="H14" s="41"/>
    </row>
    <row r="15" spans="2:8" s="40" customFormat="1">
      <c r="B15" s="86" t="s">
        <v>75</v>
      </c>
      <c r="C15" s="87"/>
      <c r="D15" s="88"/>
      <c r="E15" s="89">
        <f>IF($C$7&lt;=$E$13,$C$7,$E$13)*$F$15*$C$8</f>
        <v>31.340624999999999</v>
      </c>
      <c r="F15" s="85">
        <v>2.5000000000000001E-3</v>
      </c>
      <c r="G15" s="124">
        <f>SUM(C15:E15)</f>
        <v>31.340624999999999</v>
      </c>
      <c r="H15" s="41"/>
    </row>
    <row r="16" spans="2:8" s="42" customFormat="1">
      <c r="B16" s="86" t="s">
        <v>76</v>
      </c>
      <c r="C16" s="87"/>
      <c r="D16" s="88"/>
      <c r="E16" s="89">
        <f>IF($C$7&lt;=$E$13,$C$7,$E$13)*$F$16*$C$8</f>
        <v>47.010937499999997</v>
      </c>
      <c r="F16" s="85">
        <v>3.7499999999999999E-3</v>
      </c>
      <c r="G16" s="124">
        <f>SUM(C16:E16)</f>
        <v>47.010937499999997</v>
      </c>
      <c r="H16" s="43"/>
    </row>
    <row r="17" spans="2:9" s="42" customFormat="1" ht="12.75" customHeight="1">
      <c r="B17" s="86" t="s">
        <v>77</v>
      </c>
      <c r="C17" s="83"/>
      <c r="D17" s="84">
        <f>IF(C7&gt;D13,D13*F17*C8,C7*F17*C8)</f>
        <v>78.3515625</v>
      </c>
      <c r="E17" s="125"/>
      <c r="F17" s="91">
        <v>6.2500000000000003E-3</v>
      </c>
      <c r="G17" s="124">
        <f>SUM(C17:E17)</f>
        <v>78.3515625</v>
      </c>
    </row>
    <row r="18" spans="2:9">
      <c r="B18" s="86" t="s">
        <v>78</v>
      </c>
      <c r="C18" s="83"/>
      <c r="D18" s="84">
        <f>IF(C7&gt;D13,D13*F18*C8,C7*F18*C8)</f>
        <v>141.03281250000001</v>
      </c>
      <c r="E18" s="90"/>
      <c r="F18" s="91">
        <v>1.125E-2</v>
      </c>
      <c r="G18" s="124">
        <f>SUM(C18:E18)</f>
        <v>141.03281250000001</v>
      </c>
      <c r="H18"/>
    </row>
    <row r="19" spans="2:9" ht="2.25" customHeight="1">
      <c r="B19" s="92"/>
      <c r="C19" s="93"/>
      <c r="D19" s="93"/>
      <c r="E19" s="73"/>
      <c r="F19" s="74"/>
      <c r="G19" s="126"/>
      <c r="H19"/>
    </row>
    <row r="20" spans="2:9">
      <c r="B20" s="66" t="s">
        <v>36</v>
      </c>
      <c r="C20" s="124">
        <f>SUM(C14:C18)</f>
        <v>35.637000000000008</v>
      </c>
      <c r="D20" s="124">
        <f>SUM(D14:D18)</f>
        <v>219.38437500000001</v>
      </c>
      <c r="E20" s="124">
        <f>SUM(E14:E18)</f>
        <v>78.3515625</v>
      </c>
      <c r="F20" s="127">
        <f>SUM(F14:F18)</f>
        <v>2.775E-2</v>
      </c>
      <c r="G20" s="124">
        <f>SUM(G14:G18)</f>
        <v>333.37293750000003</v>
      </c>
      <c r="H20"/>
    </row>
    <row r="21" spans="2:9" ht="3" customHeight="1">
      <c r="B21" s="71"/>
      <c r="C21" s="94"/>
      <c r="D21" s="94"/>
      <c r="E21" s="94" t="s">
        <v>15</v>
      </c>
      <c r="F21" s="74"/>
      <c r="G21" s="69"/>
      <c r="H21"/>
    </row>
    <row r="22" spans="2:9">
      <c r="B22" s="90" t="s">
        <v>30</v>
      </c>
      <c r="C22" s="95"/>
      <c r="D22" s="95"/>
      <c r="E22" s="76"/>
      <c r="F22" s="96">
        <f>SUM(C20:E20)</f>
        <v>333.37293750000003</v>
      </c>
      <c r="G22" s="69"/>
      <c r="H22" s="171"/>
    </row>
    <row r="23" spans="2:9">
      <c r="B23" s="97"/>
      <c r="C23" s="98"/>
      <c r="D23" s="98"/>
      <c r="E23" s="98"/>
      <c r="F23" s="99"/>
      <c r="G23" s="69" t="s">
        <v>15</v>
      </c>
      <c r="H23"/>
    </row>
    <row r="24" spans="2:9" ht="13.5" thickBot="1">
      <c r="B24" s="100"/>
      <c r="C24" s="100"/>
      <c r="D24" s="100"/>
      <c r="E24" s="100"/>
      <c r="F24" s="172"/>
      <c r="G24" s="69"/>
      <c r="H24"/>
      <c r="I24" s="173"/>
    </row>
    <row r="25" spans="2:9" ht="13.5" thickBot="1">
      <c r="B25" s="66" t="s">
        <v>79</v>
      </c>
      <c r="C25" s="101" t="s">
        <v>71</v>
      </c>
      <c r="D25" s="102"/>
      <c r="E25" s="103"/>
      <c r="F25" s="104" t="s">
        <v>72</v>
      </c>
      <c r="G25" s="105"/>
      <c r="H25"/>
    </row>
    <row r="26" spans="2:9" ht="13.5" thickBot="1">
      <c r="B26" s="79" t="s">
        <v>27</v>
      </c>
      <c r="C26" s="128">
        <f>+C13</f>
        <v>241.79999999999998</v>
      </c>
      <c r="D26" s="128">
        <f>+D13</f>
        <v>2014.9999999999998</v>
      </c>
      <c r="E26" s="128">
        <f>+E13</f>
        <v>2014.9999999999998</v>
      </c>
      <c r="F26" s="106" t="s">
        <v>73</v>
      </c>
      <c r="G26" s="107" t="s">
        <v>30</v>
      </c>
      <c r="H26"/>
    </row>
    <row r="27" spans="2:9">
      <c r="B27" s="86" t="s">
        <v>50</v>
      </c>
      <c r="C27" s="87"/>
      <c r="D27" s="88"/>
      <c r="E27" s="84">
        <f>+C8*F27*C10</f>
        <v>246.63599999999994</v>
      </c>
      <c r="F27" s="85">
        <v>0.20399999999999999</v>
      </c>
      <c r="G27" s="124">
        <f>SUM(C27:E27)</f>
        <v>246.63599999999994</v>
      </c>
      <c r="H27"/>
    </row>
    <row r="28" spans="2:9">
      <c r="B28" s="81" t="s">
        <v>74</v>
      </c>
      <c r="C28" s="108">
        <f>IF($C$7&gt;$C$13,($C$7-$C$13)*F28*$C$8,0)</f>
        <v>98.001750000000001</v>
      </c>
      <c r="D28" s="83"/>
      <c r="E28" s="129" t="s">
        <v>15</v>
      </c>
      <c r="F28" s="85">
        <v>1.0999999999999999E-2</v>
      </c>
      <c r="G28" s="124">
        <f t="shared" ref="G28:G36" si="0">SUM(C28:E28)</f>
        <v>98.001750000000001</v>
      </c>
      <c r="H28"/>
    </row>
    <row r="29" spans="2:9">
      <c r="B29" s="86" t="s">
        <v>75</v>
      </c>
      <c r="C29" s="87"/>
      <c r="D29" s="88"/>
      <c r="E29" s="122">
        <f>IF($C$7&lt;=$E$13,$C$7,$E$13)*F29*$C$8</f>
        <v>87.753749999999997</v>
      </c>
      <c r="F29" s="85">
        <v>7.0000000000000001E-3</v>
      </c>
      <c r="G29" s="124">
        <f t="shared" si="0"/>
        <v>87.753749999999997</v>
      </c>
      <c r="H29"/>
    </row>
    <row r="30" spans="2:9">
      <c r="B30" s="86" t="s">
        <v>76</v>
      </c>
      <c r="C30" s="87"/>
      <c r="D30" s="88"/>
      <c r="E30" s="122">
        <f>IF($C$7&lt;=$E$13,$C$7,$E$13)*F30*$C$8</f>
        <v>131.63062500000001</v>
      </c>
      <c r="F30" s="85">
        <v>1.0500000000000001E-2</v>
      </c>
      <c r="G30" s="124">
        <f t="shared" si="0"/>
        <v>131.63062500000001</v>
      </c>
      <c r="H30"/>
    </row>
    <row r="31" spans="2:9">
      <c r="B31" s="86" t="s">
        <v>77</v>
      </c>
      <c r="C31" s="83"/>
      <c r="D31" s="84">
        <f>IF(C7&gt;D13,D13*F31*C8,C7*F31*C8)</f>
        <v>219.38437500000001</v>
      </c>
      <c r="E31" s="123"/>
      <c r="F31" s="91">
        <v>1.7500000000000002E-2</v>
      </c>
      <c r="G31" s="124">
        <f t="shared" si="0"/>
        <v>219.38437500000001</v>
      </c>
      <c r="H31"/>
    </row>
    <row r="32" spans="2:9">
      <c r="B32" s="86" t="s">
        <v>78</v>
      </c>
      <c r="C32" s="83"/>
      <c r="D32" s="84">
        <f>IF(C7&gt;D13,D13*F32*C8,C7*F32*C8)</f>
        <v>394.89187500000003</v>
      </c>
      <c r="E32" s="130"/>
      <c r="F32" s="91">
        <v>3.15E-2</v>
      </c>
      <c r="G32" s="124">
        <f t="shared" si="0"/>
        <v>394.89187500000003</v>
      </c>
      <c r="H32"/>
    </row>
    <row r="33" spans="2:8">
      <c r="B33" s="86" t="s">
        <v>80</v>
      </c>
      <c r="C33" s="83"/>
      <c r="D33" s="109"/>
      <c r="E33" s="129">
        <f>+C7*F33*C8</f>
        <v>250.72499999999999</v>
      </c>
      <c r="F33" s="91">
        <v>0.02</v>
      </c>
      <c r="G33" s="124">
        <f t="shared" si="0"/>
        <v>250.72499999999999</v>
      </c>
      <c r="H33"/>
    </row>
    <row r="34" spans="2:8">
      <c r="B34" s="86" t="s">
        <v>81</v>
      </c>
      <c r="C34" s="83"/>
      <c r="D34" s="84">
        <f>IF(C7&gt;D13,D13*F34*C8,C7*F34*C8)</f>
        <v>626.8125</v>
      </c>
      <c r="E34" s="124"/>
      <c r="F34" s="91">
        <v>0.05</v>
      </c>
      <c r="G34" s="124">
        <f t="shared" si="0"/>
        <v>626.8125</v>
      </c>
      <c r="H34"/>
    </row>
    <row r="35" spans="2:8">
      <c r="B35" s="86" t="s">
        <v>82</v>
      </c>
      <c r="C35" s="83"/>
      <c r="D35" s="84"/>
      <c r="E35" s="124">
        <f>+C7*F35*C8</f>
        <v>0</v>
      </c>
      <c r="F35" s="193">
        <f>FINIQUITO!E6</f>
        <v>0</v>
      </c>
      <c r="G35" s="124">
        <f t="shared" si="0"/>
        <v>0</v>
      </c>
      <c r="H35"/>
    </row>
    <row r="36" spans="2:8">
      <c r="B36" s="86" t="s">
        <v>83</v>
      </c>
      <c r="C36" s="83"/>
      <c r="D36" s="66"/>
      <c r="E36" s="129">
        <f>+C7*F36*C8</f>
        <v>125.3625</v>
      </c>
      <c r="F36" s="91">
        <v>0.01</v>
      </c>
      <c r="G36" s="124">
        <f t="shared" si="0"/>
        <v>125.3625</v>
      </c>
      <c r="H36"/>
    </row>
    <row r="37" spans="2:8">
      <c r="B37" s="92"/>
      <c r="C37" s="93"/>
      <c r="D37" s="93"/>
      <c r="E37" s="131"/>
      <c r="F37" s="110"/>
      <c r="G37" s="105"/>
      <c r="H37"/>
    </row>
    <row r="38" spans="2:8">
      <c r="B38" s="66" t="s">
        <v>36</v>
      </c>
      <c r="C38" s="87">
        <f>SUM(C27:C36)</f>
        <v>98.001750000000001</v>
      </c>
      <c r="D38" s="87">
        <f>SUM(D27:D36)</f>
        <v>1241.0887499999999</v>
      </c>
      <c r="E38" s="87">
        <f>SUM(E27:E36)</f>
        <v>842.10787499999992</v>
      </c>
      <c r="F38" s="111"/>
      <c r="G38" s="132">
        <f>SUM(G27:G36)</f>
        <v>2181.1983749999999</v>
      </c>
      <c r="H38"/>
    </row>
    <row r="39" spans="2:8" ht="14.25" customHeight="1">
      <c r="B39" s="71"/>
      <c r="C39" s="94"/>
      <c r="D39" s="94"/>
      <c r="E39" s="94"/>
      <c r="F39" s="110"/>
      <c r="G39" s="105"/>
      <c r="H39"/>
    </row>
    <row r="40" spans="2:8">
      <c r="B40" s="90" t="s">
        <v>84</v>
      </c>
      <c r="C40" s="95"/>
      <c r="D40" s="95"/>
      <c r="E40" s="76"/>
      <c r="F40" s="112" t="s">
        <v>15</v>
      </c>
      <c r="G40" s="132">
        <f>+G38+G20</f>
        <v>2514.5713125000002</v>
      </c>
      <c r="H40"/>
    </row>
    <row r="41" spans="2:8" ht="13.5" thickBot="1">
      <c r="B41" s="105"/>
      <c r="C41" s="72"/>
      <c r="D41" s="115"/>
      <c r="E41" s="72"/>
      <c r="F41" s="113"/>
      <c r="G41" s="114"/>
      <c r="H41"/>
    </row>
    <row r="42" spans="2:8" ht="13.5" thickBot="1">
      <c r="B42" s="116" t="s">
        <v>27</v>
      </c>
      <c r="C42" s="117" t="s">
        <v>85</v>
      </c>
      <c r="D42" s="118" t="s">
        <v>86</v>
      </c>
      <c r="E42" s="72"/>
      <c r="F42" s="113"/>
      <c r="G42" s="114"/>
      <c r="H42"/>
    </row>
    <row r="43" spans="2:8">
      <c r="B43" s="86" t="s">
        <v>50</v>
      </c>
      <c r="C43" s="119">
        <f>+G27</f>
        <v>246.63599999999994</v>
      </c>
      <c r="D43" s="66"/>
      <c r="E43" s="72"/>
      <c r="F43" s="113"/>
      <c r="G43" s="114"/>
      <c r="H43"/>
    </row>
    <row r="44" spans="2:8">
      <c r="B44" s="81" t="s">
        <v>74</v>
      </c>
      <c r="C44" s="119">
        <f>+G14+G28</f>
        <v>133.63875000000002</v>
      </c>
      <c r="D44" s="66"/>
      <c r="E44" s="100" t="s">
        <v>15</v>
      </c>
      <c r="F44" s="113"/>
      <c r="G44" s="114"/>
      <c r="H44"/>
    </row>
    <row r="45" spans="2:8">
      <c r="B45" s="86" t="s">
        <v>75</v>
      </c>
      <c r="C45" s="119">
        <f>+G29+G15</f>
        <v>119.094375</v>
      </c>
      <c r="D45" s="66"/>
      <c r="E45" s="100" t="s">
        <v>15</v>
      </c>
      <c r="F45" s="113"/>
      <c r="G45" s="114"/>
      <c r="H45"/>
    </row>
    <row r="46" spans="2:8">
      <c r="B46" s="86" t="s">
        <v>76</v>
      </c>
      <c r="C46" s="119">
        <f>+G16+G30</f>
        <v>178.64156250000002</v>
      </c>
      <c r="D46" s="66"/>
      <c r="E46" s="100" t="s">
        <v>15</v>
      </c>
      <c r="F46" s="113"/>
      <c r="G46" s="114"/>
      <c r="H46"/>
    </row>
    <row r="47" spans="2:8">
      <c r="B47" s="86" t="s">
        <v>77</v>
      </c>
      <c r="C47" s="119">
        <f>+G31+G17</f>
        <v>297.73593749999998</v>
      </c>
      <c r="D47" s="66"/>
      <c r="E47" s="100"/>
      <c r="F47" s="113"/>
      <c r="G47" s="114"/>
      <c r="H47"/>
    </row>
    <row r="48" spans="2:8">
      <c r="B48" s="86" t="s">
        <v>78</v>
      </c>
      <c r="C48" s="66"/>
      <c r="D48" s="119">
        <f>+G18+G32</f>
        <v>535.9246875</v>
      </c>
      <c r="E48" s="100" t="s">
        <v>15</v>
      </c>
      <c r="F48" s="113"/>
      <c r="G48" s="114"/>
      <c r="H48"/>
    </row>
    <row r="49" spans="2:8">
      <c r="B49" s="86" t="s">
        <v>80</v>
      </c>
      <c r="C49" s="66"/>
      <c r="D49" s="119">
        <f>+G33</f>
        <v>250.72499999999999</v>
      </c>
      <c r="E49" s="100"/>
      <c r="F49" s="113"/>
      <c r="G49" s="114"/>
      <c r="H49"/>
    </row>
    <row r="50" spans="2:8">
      <c r="B50" s="86" t="s">
        <v>81</v>
      </c>
      <c r="C50" s="66"/>
      <c r="D50" s="119">
        <f>+G34</f>
        <v>626.8125</v>
      </c>
      <c r="E50" s="100"/>
      <c r="F50" s="113"/>
      <c r="G50" s="114"/>
      <c r="H50"/>
    </row>
    <row r="51" spans="2:8">
      <c r="B51" s="86" t="s">
        <v>82</v>
      </c>
      <c r="C51" s="119">
        <f>+G35</f>
        <v>0</v>
      </c>
      <c r="D51" s="66"/>
      <c r="E51" s="100"/>
      <c r="F51" s="113"/>
      <c r="G51" s="114"/>
      <c r="H51"/>
    </row>
    <row r="52" spans="2:8">
      <c r="B52" s="86" t="s">
        <v>83</v>
      </c>
      <c r="C52" s="119">
        <f>+G36</f>
        <v>125.3625</v>
      </c>
      <c r="D52" s="66"/>
      <c r="E52" s="100"/>
      <c r="F52" s="113"/>
      <c r="G52" s="114"/>
      <c r="H52"/>
    </row>
    <row r="53" spans="2:8">
      <c r="B53" s="100"/>
      <c r="C53" s="100"/>
      <c r="D53" s="100"/>
      <c r="E53" s="100"/>
      <c r="F53" s="120"/>
      <c r="G53" s="114"/>
      <c r="H53"/>
    </row>
    <row r="54" spans="2:8" ht="18.75" customHeight="1">
      <c r="B54" s="66" t="s">
        <v>30</v>
      </c>
      <c r="C54" s="133">
        <f>SUM(C43:C52)</f>
        <v>1101.1091249999999</v>
      </c>
      <c r="D54" s="133">
        <f>SUM(D43:D52)</f>
        <v>1413.4621875</v>
      </c>
      <c r="E54" s="134">
        <f>+D54+C54</f>
        <v>2514.5713125000002</v>
      </c>
      <c r="F54" s="120"/>
      <c r="G54" s="105"/>
      <c r="H54"/>
    </row>
    <row r="55" spans="2:8">
      <c r="B55" s="100"/>
      <c r="C55" s="100"/>
      <c r="D55" s="100"/>
      <c r="E55" s="100"/>
      <c r="F55" s="120"/>
      <c r="G55" s="105"/>
      <c r="H55"/>
    </row>
    <row r="56" spans="2:8">
      <c r="E56"/>
      <c r="F56" s="43"/>
      <c r="G56" s="44"/>
      <c r="H56"/>
    </row>
    <row r="57" spans="2:8">
      <c r="E57"/>
      <c r="F57" s="43"/>
      <c r="G57" s="44"/>
      <c r="H57"/>
    </row>
    <row r="58" spans="2:8">
      <c r="E58"/>
      <c r="F58" s="43"/>
      <c r="G58" s="44"/>
      <c r="H58"/>
    </row>
    <row r="59" spans="2:8">
      <c r="E59"/>
      <c r="F59" s="43"/>
      <c r="G59" s="44"/>
      <c r="H59"/>
    </row>
    <row r="60" spans="2:8">
      <c r="E60"/>
      <c r="F60" s="43"/>
      <c r="G60" s="44"/>
      <c r="H60"/>
    </row>
    <row r="61" spans="2:8">
      <c r="E61"/>
      <c r="F61" s="43"/>
      <c r="G61" s="44"/>
      <c r="H61"/>
    </row>
    <row r="62" spans="2:8">
      <c r="B62" s="53"/>
      <c r="C62" s="1"/>
      <c r="D62" s="49"/>
      <c r="E62" s="32"/>
      <c r="F62" s="43"/>
      <c r="G62" s="44"/>
      <c r="H62"/>
    </row>
    <row r="63" spans="2:8">
      <c r="B63" s="50" t="s">
        <v>42</v>
      </c>
      <c r="C63" s="51"/>
      <c r="D63" s="52"/>
      <c r="E63" s="45">
        <f>SUM(FINIQUITO!C63)</f>
        <v>141.03281250000001</v>
      </c>
      <c r="F63" s="43"/>
      <c r="G63" s="44"/>
      <c r="H63"/>
    </row>
    <row r="64" spans="2:8">
      <c r="B64" s="53"/>
      <c r="C64" s="1"/>
      <c r="D64" s="49"/>
      <c r="E64" s="32"/>
      <c r="F64" s="43"/>
      <c r="G64" s="44"/>
    </row>
    <row r="65" spans="2:7">
      <c r="B65" s="53"/>
      <c r="C65" s="1"/>
      <c r="D65" s="49"/>
      <c r="E65" s="32"/>
      <c r="F65" s="43"/>
      <c r="G65" s="44"/>
    </row>
    <row r="66" spans="2:7">
      <c r="B66" s="53"/>
      <c r="C66" s="1"/>
      <c r="D66" s="49"/>
      <c r="E66" s="32"/>
      <c r="F66" s="43"/>
      <c r="G66" s="44"/>
    </row>
    <row r="67" spans="2:7">
      <c r="B67" s="53"/>
      <c r="C67" s="1"/>
      <c r="D67" s="49"/>
      <c r="E67" s="32"/>
      <c r="F67" s="43"/>
      <c r="G67" s="44"/>
    </row>
    <row r="68" spans="2:7">
      <c r="B68" s="54" t="s">
        <v>27</v>
      </c>
      <c r="C68" s="55" t="s">
        <v>85</v>
      </c>
      <c r="D68" s="56" t="s">
        <v>86</v>
      </c>
      <c r="E68" s="32"/>
      <c r="F68" s="43"/>
      <c r="G68" s="44"/>
    </row>
    <row r="69" spans="2:7">
      <c r="B69" s="57" t="s">
        <v>50</v>
      </c>
      <c r="C69" s="45">
        <f>+G27</f>
        <v>246.63599999999994</v>
      </c>
      <c r="D69" s="46"/>
      <c r="E69" s="32"/>
      <c r="F69" s="43"/>
      <c r="G69" s="44"/>
    </row>
    <row r="70" spans="2:7">
      <c r="B70" s="58" t="s">
        <v>74</v>
      </c>
      <c r="C70" s="45">
        <f>+G14+G28</f>
        <v>133.63875000000002</v>
      </c>
      <c r="D70" s="46"/>
      <c r="E70" s="42" t="s">
        <v>15</v>
      </c>
      <c r="F70" s="43" t="s">
        <v>15</v>
      </c>
      <c r="G70" s="44"/>
    </row>
    <row r="71" spans="2:7">
      <c r="B71" s="57" t="s">
        <v>75</v>
      </c>
      <c r="C71" s="45">
        <f>+G29+G15</f>
        <v>119.094375</v>
      </c>
      <c r="D71" s="46"/>
      <c r="E71" s="42" t="s">
        <v>15</v>
      </c>
      <c r="F71" s="43"/>
      <c r="G71" s="44"/>
    </row>
    <row r="72" spans="2:7">
      <c r="B72" s="57" t="s">
        <v>76</v>
      </c>
      <c r="C72" s="45">
        <f>+G16+G30</f>
        <v>178.64156250000002</v>
      </c>
      <c r="D72" s="46"/>
      <c r="E72" s="42" t="s">
        <v>15</v>
      </c>
      <c r="F72" s="43"/>
      <c r="G72" s="44"/>
    </row>
    <row r="73" spans="2:7">
      <c r="B73" s="57" t="s">
        <v>77</v>
      </c>
      <c r="C73" s="45">
        <f>+G31+G17</f>
        <v>297.73593749999998</v>
      </c>
      <c r="D73" s="46"/>
      <c r="F73" s="43"/>
      <c r="G73" s="44"/>
    </row>
    <row r="74" spans="2:7">
      <c r="B74" s="57" t="s">
        <v>78</v>
      </c>
      <c r="C74" s="46"/>
      <c r="D74" s="45">
        <f>+G18+G32</f>
        <v>535.9246875</v>
      </c>
      <c r="E74" s="42" t="s">
        <v>15</v>
      </c>
      <c r="F74" s="43"/>
      <c r="G74" s="44"/>
    </row>
    <row r="75" spans="2:7">
      <c r="B75" s="57" t="s">
        <v>80</v>
      </c>
      <c r="C75" s="46"/>
      <c r="D75" s="45">
        <f>+G33</f>
        <v>250.72499999999999</v>
      </c>
      <c r="F75" s="43"/>
      <c r="G75" s="44"/>
    </row>
    <row r="76" spans="2:7">
      <c r="B76" s="57" t="s">
        <v>81</v>
      </c>
      <c r="C76" s="46"/>
      <c r="D76" s="45">
        <f>+G34</f>
        <v>626.8125</v>
      </c>
      <c r="F76" s="43"/>
      <c r="G76" s="44"/>
    </row>
    <row r="77" spans="2:7">
      <c r="B77" s="57" t="s">
        <v>82</v>
      </c>
      <c r="C77" s="45">
        <f>+G35</f>
        <v>0</v>
      </c>
      <c r="D77" s="46"/>
      <c r="F77" s="43"/>
      <c r="G77" s="44"/>
    </row>
    <row r="78" spans="2:7">
      <c r="B78" s="57" t="s">
        <v>83</v>
      </c>
      <c r="C78" s="45">
        <f>+G36</f>
        <v>125.3625</v>
      </c>
      <c r="D78" s="46"/>
      <c r="F78" s="43"/>
      <c r="G78" s="44"/>
    </row>
    <row r="79" spans="2:7">
      <c r="F79" s="43"/>
      <c r="G79" s="44"/>
    </row>
    <row r="80" spans="2:7">
      <c r="C80" s="45">
        <f>SUM(C69:C78)</f>
        <v>1101.1091249999999</v>
      </c>
      <c r="D80" s="45">
        <f>SUM(D69:D78)</f>
        <v>1413.4621875</v>
      </c>
      <c r="E80" s="47" t="e">
        <f>+D80+C80-#REF!</f>
        <v>#REF!</v>
      </c>
      <c r="F80" s="43"/>
      <c r="G80" s="44"/>
    </row>
    <row r="81" spans="2:7">
      <c r="F81" s="43"/>
      <c r="G81" s="44"/>
    </row>
    <row r="82" spans="2:7">
      <c r="B82" s="46" t="s">
        <v>30</v>
      </c>
      <c r="C82" s="45">
        <f>+C80+D80</f>
        <v>2514.5713125000002</v>
      </c>
      <c r="D82" s="47" t="s">
        <v>15</v>
      </c>
      <c r="F82" s="43"/>
      <c r="G82" s="44"/>
    </row>
    <row r="83" spans="2:7"/>
    <row r="84" spans="2:7"/>
    <row r="85" spans="2:7"/>
    <row r="86" spans="2:7"/>
    <row r="87" spans="2:7"/>
    <row r="88" spans="2:7"/>
    <row r="89" spans="2:7"/>
    <row r="90" spans="2:7"/>
    <row r="91" spans="2:7"/>
    <row r="92" spans="2:7"/>
    <row r="93" spans="2:7"/>
    <row r="94" spans="2:7"/>
    <row r="95" spans="2:7"/>
    <row r="96" spans="2:7"/>
    <row r="97"/>
    <row r="98"/>
    <row r="99"/>
    <row r="100"/>
    <row r="101"/>
    <row r="102"/>
    <row r="103"/>
    <row r="104"/>
    <row r="105"/>
  </sheetData>
  <mergeCells count="1">
    <mergeCell ref="B1:H2"/>
  </mergeCells>
  <phoneticPr fontId="23" type="noConversion"/>
  <pageMargins left="0.74803149606299213" right="0.74803149606299213" top="0.98425196850393704" bottom="0.98425196850393704" header="0.51181102362204722" footer="0.51181102362204722"/>
  <pageSetup scale="95" orientation="portrait" horizontalDpi="300" verticalDpi="300" r:id="rId1"/>
  <headerFooter alignWithMargins="0">
    <oddHeader>&amp;A</oddHeader>
    <oddFoote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L62"/>
  <sheetViews>
    <sheetView view="pageBreakPreview" zoomScale="75" zoomScaleNormal="75" workbookViewId="0">
      <selection activeCell="B22" sqref="B22:D22"/>
    </sheetView>
  </sheetViews>
  <sheetFormatPr baseColWidth="10" defaultColWidth="9.140625" defaultRowHeight="12.75"/>
  <cols>
    <col min="1" max="1" width="2.140625" style="2" customWidth="1"/>
    <col min="2" max="2" width="20.28515625" style="2" customWidth="1"/>
    <col min="3" max="3" width="23.28515625" style="2" customWidth="1"/>
    <col min="4" max="4" width="17" style="2" hidden="1" customWidth="1"/>
    <col min="5" max="5" width="14.7109375" style="30" hidden="1" customWidth="1"/>
    <col min="6" max="6" width="26.42578125" style="2" customWidth="1"/>
    <col min="7" max="7" width="33.85546875" style="2" customWidth="1"/>
    <col min="8" max="8" width="11.42578125" style="2" customWidth="1"/>
    <col min="9" max="9" width="15.85546875" style="2" customWidth="1"/>
    <col min="10" max="10" width="21.28515625" style="2" customWidth="1"/>
    <col min="11" max="11" width="22.85546875" style="2" customWidth="1"/>
    <col min="12" max="12" width="14.42578125" style="135" customWidth="1"/>
    <col min="13" max="13" width="9.140625" style="2" customWidth="1"/>
    <col min="14" max="16384" width="9.140625" style="2"/>
  </cols>
  <sheetData>
    <row r="1" spans="2:12" ht="30.75" thickBot="1">
      <c r="B1" s="377" t="s">
        <v>109</v>
      </c>
      <c r="C1" s="378"/>
      <c r="D1" s="379"/>
      <c r="E1" s="379"/>
      <c r="F1" s="378"/>
      <c r="G1" s="380"/>
    </row>
    <row r="2" spans="2:12" ht="12.75" customHeight="1">
      <c r="B2" s="141" t="s">
        <v>44</v>
      </c>
      <c r="C2" s="142"/>
      <c r="D2" s="143">
        <f>+FINIQUITO!B7</f>
        <v>43343</v>
      </c>
      <c r="E2" s="144">
        <f>1-D2</f>
        <v>-43342</v>
      </c>
      <c r="F2" s="145" t="s">
        <v>45</v>
      </c>
      <c r="G2" s="146">
        <f>1-E5</f>
        <v>86685</v>
      </c>
      <c r="I2" s="376" t="s">
        <v>155</v>
      </c>
      <c r="J2" s="273"/>
      <c r="K2" s="273"/>
      <c r="L2" s="259" t="s">
        <v>46</v>
      </c>
    </row>
    <row r="3" spans="2:12" ht="14.25" customHeight="1" thickBot="1">
      <c r="B3" s="3" t="s">
        <v>47</v>
      </c>
      <c r="C3" s="4" t="s">
        <v>15</v>
      </c>
      <c r="D3" s="147">
        <f>1-E3</f>
        <v>-43341.5</v>
      </c>
      <c r="E3" s="5">
        <f>E6/2</f>
        <v>43342.5</v>
      </c>
      <c r="F3" s="148" t="s">
        <v>99</v>
      </c>
      <c r="G3" s="149">
        <f>1-G2</f>
        <v>-86684</v>
      </c>
      <c r="I3" s="260" t="s">
        <v>48</v>
      </c>
      <c r="J3" s="261" t="s">
        <v>49</v>
      </c>
      <c r="K3" s="262" t="s">
        <v>50</v>
      </c>
      <c r="L3" s="263" t="s">
        <v>51</v>
      </c>
    </row>
    <row r="4" spans="2:12" ht="14.25" customHeight="1" thickBot="1">
      <c r="B4" s="22"/>
      <c r="C4" s="19"/>
      <c r="D4" s="499"/>
      <c r="E4" s="500"/>
      <c r="F4" s="501"/>
      <c r="G4" s="502"/>
      <c r="I4" s="261"/>
      <c r="J4" s="261"/>
      <c r="K4" s="262"/>
      <c r="L4" s="503"/>
    </row>
    <row r="5" spans="2:12" ht="15.75">
      <c r="B5" s="617" t="s">
        <v>232</v>
      </c>
      <c r="C5" s="498"/>
      <c r="D5" s="150" t="s">
        <v>53</v>
      </c>
      <c r="E5" s="6">
        <f>E2*2</f>
        <v>-86684</v>
      </c>
      <c r="F5" s="150" t="s">
        <v>54</v>
      </c>
      <c r="G5" s="274"/>
      <c r="I5" s="278">
        <v>0.01</v>
      </c>
      <c r="J5" s="278">
        <v>578.52</v>
      </c>
      <c r="K5" s="278">
        <v>0</v>
      </c>
      <c r="L5" s="279">
        <v>1.9199999999999998E-2</v>
      </c>
    </row>
    <row r="6" spans="2:12" ht="13.5" thickBot="1">
      <c r="B6" s="618"/>
      <c r="C6" s="533">
        <v>30</v>
      </c>
      <c r="D6" s="7"/>
      <c r="E6" s="9">
        <f>1-G3</f>
        <v>86685</v>
      </c>
      <c r="F6" s="7"/>
      <c r="G6" s="8"/>
      <c r="I6" s="278">
        <f>J5+0.01</f>
        <v>578.53</v>
      </c>
      <c r="J6" s="280">
        <v>4910.18</v>
      </c>
      <c r="K6" s="278">
        <v>11.11</v>
      </c>
      <c r="L6" s="279">
        <v>6.4000000000000001E-2</v>
      </c>
    </row>
    <row r="7" spans="2:12" hidden="1">
      <c r="B7" s="10" t="s">
        <v>100</v>
      </c>
      <c r="C7" s="153">
        <f>+FINIQUITO!C84</f>
        <v>18757.584246575341</v>
      </c>
      <c r="D7" s="154" t="s">
        <v>101</v>
      </c>
      <c r="E7" s="11" t="e">
        <f>VLOOKUP(C10,I$19:L$28,1)</f>
        <v>#N/A</v>
      </c>
      <c r="F7" s="12" t="s">
        <v>56</v>
      </c>
      <c r="G7" s="13"/>
      <c r="I7" s="278">
        <f t="shared" ref="I7:I15" si="0">J6+0.01</f>
        <v>4910.1900000000005</v>
      </c>
      <c r="J7" s="280">
        <v>8629.2000000000007</v>
      </c>
      <c r="K7" s="278">
        <v>288.33</v>
      </c>
      <c r="L7" s="279">
        <v>0.10880000000000001</v>
      </c>
    </row>
    <row r="8" spans="2:12">
      <c r="B8" s="621" t="s">
        <v>235</v>
      </c>
      <c r="C8" s="619">
        <f>(C7/C6)*30</f>
        <v>18757.584246575341</v>
      </c>
      <c r="D8" s="12" t="s">
        <v>102</v>
      </c>
      <c r="E8" s="15" t="e">
        <f>+C10-E7</f>
        <v>#N/A</v>
      </c>
      <c r="F8" s="16"/>
      <c r="G8" s="17"/>
      <c r="I8" s="278">
        <f t="shared" si="0"/>
        <v>8629.2100000000009</v>
      </c>
      <c r="J8" s="280">
        <v>10031.07</v>
      </c>
      <c r="K8" s="278">
        <v>692.96</v>
      </c>
      <c r="L8" s="279">
        <v>0.16</v>
      </c>
    </row>
    <row r="9" spans="2:12">
      <c r="B9" s="622"/>
      <c r="C9" s="620"/>
      <c r="D9" s="12" t="s">
        <v>103</v>
      </c>
      <c r="E9" s="15">
        <f>+C14</f>
        <v>0.21359999999999998</v>
      </c>
      <c r="F9" s="16"/>
      <c r="G9" s="17"/>
      <c r="I9" s="278">
        <f t="shared" si="0"/>
        <v>10031.08</v>
      </c>
      <c r="J9" s="280">
        <v>12009.94</v>
      </c>
      <c r="K9" s="278">
        <v>917.26</v>
      </c>
      <c r="L9" s="279">
        <v>0.17920000000000003</v>
      </c>
    </row>
    <row r="10" spans="2:12" ht="13.5" hidden="1" thickBot="1">
      <c r="B10" s="157" t="s">
        <v>59</v>
      </c>
      <c r="C10" s="158">
        <f>SUM(C8:C9)</f>
        <v>18757.584246575341</v>
      </c>
      <c r="D10" s="12" t="s">
        <v>104</v>
      </c>
      <c r="E10" s="18" t="e">
        <f>+E8*E9</f>
        <v>#N/A</v>
      </c>
      <c r="F10" s="16"/>
      <c r="G10" s="17"/>
      <c r="I10" s="278">
        <f t="shared" si="0"/>
        <v>12009.95</v>
      </c>
      <c r="J10" s="280">
        <v>24222.31</v>
      </c>
      <c r="K10" s="280">
        <v>1271.8699999999999</v>
      </c>
      <c r="L10" s="279">
        <v>0.21359999999999998</v>
      </c>
    </row>
    <row r="11" spans="2:12">
      <c r="B11" s="10" t="s">
        <v>60</v>
      </c>
      <c r="C11" s="11">
        <f>VLOOKUP(C10,I$5:L$15,1)</f>
        <v>12009.95</v>
      </c>
      <c r="D11" s="12" t="s">
        <v>61</v>
      </c>
      <c r="E11" s="19"/>
      <c r="F11" s="20"/>
      <c r="G11" s="21">
        <f>C18</f>
        <v>2713.1646750684922</v>
      </c>
      <c r="I11" s="278">
        <f t="shared" si="0"/>
        <v>24222.32</v>
      </c>
      <c r="J11" s="280">
        <v>38177.69</v>
      </c>
      <c r="K11" s="280">
        <v>3880.44</v>
      </c>
      <c r="L11" s="279">
        <v>0.23519999999999999</v>
      </c>
    </row>
    <row r="12" spans="2:12">
      <c r="B12" s="22" t="s">
        <v>102</v>
      </c>
      <c r="C12" s="11">
        <f>C10-C11</f>
        <v>6747.6342465753405</v>
      </c>
      <c r="D12" s="20" t="s">
        <v>62</v>
      </c>
      <c r="E12" s="23" t="e">
        <f>VLOOKUP(C10,I$19:L$28,4)</f>
        <v>#N/A</v>
      </c>
      <c r="F12" s="12" t="s">
        <v>54</v>
      </c>
      <c r="G12" s="24"/>
      <c r="I12" s="278">
        <f t="shared" si="0"/>
        <v>38177.700000000004</v>
      </c>
      <c r="J12" s="280">
        <v>72887.5</v>
      </c>
      <c r="K12" s="280">
        <v>7162.74</v>
      </c>
      <c r="L12" s="279">
        <v>0.3</v>
      </c>
    </row>
    <row r="13" spans="2:12">
      <c r="B13" s="12" t="s">
        <v>61</v>
      </c>
      <c r="C13" s="24"/>
      <c r="D13" s="22" t="s">
        <v>15</v>
      </c>
      <c r="E13" s="11" t="e">
        <f>E12*E10</f>
        <v>#N/A</v>
      </c>
      <c r="F13" s="20" t="s">
        <v>64</v>
      </c>
      <c r="G13" s="21"/>
      <c r="I13" s="278">
        <f t="shared" si="0"/>
        <v>72887.509999999995</v>
      </c>
      <c r="J13" s="280">
        <v>97183.33</v>
      </c>
      <c r="K13" s="280">
        <v>17575.689999999999</v>
      </c>
      <c r="L13" s="279">
        <v>0.32</v>
      </c>
    </row>
    <row r="14" spans="2:12">
      <c r="B14" s="20" t="s">
        <v>15</v>
      </c>
      <c r="C14" s="23">
        <f>VLOOKUP(C10,I$5:L$15,4)</f>
        <v>0.21359999999999998</v>
      </c>
      <c r="D14" s="10" t="s">
        <v>63</v>
      </c>
      <c r="E14" s="11" t="e">
        <f>VLOOKUP(C10,I$19:L$28,3)</f>
        <v>#N/A</v>
      </c>
      <c r="F14" s="12"/>
      <c r="G14" s="24" t="s">
        <v>15</v>
      </c>
      <c r="I14" s="278">
        <f t="shared" si="0"/>
        <v>97183.34</v>
      </c>
      <c r="J14" s="280">
        <v>291550</v>
      </c>
      <c r="K14" s="280">
        <v>25350.35</v>
      </c>
      <c r="L14" s="279">
        <v>0.34</v>
      </c>
    </row>
    <row r="15" spans="2:12" ht="13.5" thickBot="1">
      <c r="B15" s="10" t="s">
        <v>55</v>
      </c>
      <c r="C15" s="11">
        <f>+C14*C12</f>
        <v>1441.2946750684926</v>
      </c>
      <c r="D15" s="22"/>
      <c r="E15" s="11" t="e">
        <f>+E14+E13</f>
        <v>#N/A</v>
      </c>
      <c r="F15" s="159"/>
      <c r="G15" s="160"/>
      <c r="I15" s="282">
        <f t="shared" si="0"/>
        <v>291550.01</v>
      </c>
      <c r="J15" s="282">
        <v>99999999999</v>
      </c>
      <c r="K15" s="281">
        <v>91435.02</v>
      </c>
      <c r="L15" s="279">
        <v>0.35</v>
      </c>
    </row>
    <row r="16" spans="2:12" ht="13.5" thickTop="1">
      <c r="B16" s="10" t="s">
        <v>63</v>
      </c>
      <c r="C16" s="11">
        <f>VLOOKUP(C10,I$5:L$15,3)</f>
        <v>1271.8699999999999</v>
      </c>
      <c r="D16" s="12" t="s">
        <v>105</v>
      </c>
      <c r="E16" s="19"/>
      <c r="F16" s="159" t="s">
        <v>15</v>
      </c>
      <c r="G16" s="161"/>
      <c r="I16" s="177"/>
      <c r="J16" s="177"/>
      <c r="K16" s="177"/>
    </row>
    <row r="17" spans="2:12" ht="15.75" thickBot="1">
      <c r="B17" s="12" t="s">
        <v>65</v>
      </c>
      <c r="C17" s="13"/>
      <c r="D17" s="20" t="s">
        <v>15</v>
      </c>
      <c r="E17" s="23">
        <f>G2</f>
        <v>86685</v>
      </c>
      <c r="F17" s="25" t="s">
        <v>107</v>
      </c>
      <c r="G17" s="138">
        <f>C18-G13</f>
        <v>2713.1646750684922</v>
      </c>
      <c r="I17" s="275"/>
      <c r="J17" s="179"/>
      <c r="K17" s="179"/>
      <c r="L17" s="136"/>
    </row>
    <row r="18" spans="2:12" ht="13.5" thickBot="1">
      <c r="B18" s="25" t="s">
        <v>66</v>
      </c>
      <c r="C18" s="26">
        <f>((C16+C15)/30)*C6</f>
        <v>2713.1646750684922</v>
      </c>
      <c r="D18" s="27" t="s">
        <v>106</v>
      </c>
      <c r="E18" s="28" t="e">
        <f>((E17*E15)/30)*C6</f>
        <v>#N/A</v>
      </c>
      <c r="F18" s="167"/>
      <c r="G18" s="167"/>
      <c r="I18" s="178"/>
      <c r="J18" s="178"/>
      <c r="K18" s="179"/>
      <c r="L18" s="136"/>
    </row>
    <row r="19" spans="2:12" ht="15" thickBot="1">
      <c r="B19" s="16" t="s">
        <v>233</v>
      </c>
      <c r="C19" s="24" t="str">
        <f>FINIQUITO!D83</f>
        <v>1,818.24</v>
      </c>
      <c r="D19" s="162"/>
      <c r="E19" s="29"/>
      <c r="F19" s="167"/>
      <c r="G19" s="167"/>
      <c r="I19" s="181"/>
      <c r="J19" s="182"/>
      <c r="K19" s="183"/>
      <c r="L19" s="184"/>
    </row>
    <row r="20" spans="2:12" ht="17.25" thickBot="1">
      <c r="B20" s="504" t="s">
        <v>234</v>
      </c>
      <c r="C20" s="505">
        <f>C18-C19</f>
        <v>894.92467506849221</v>
      </c>
      <c r="D20" s="162">
        <f>+C20*0.3</f>
        <v>268.47740252054763</v>
      </c>
      <c r="E20" s="163"/>
      <c r="F20" s="167"/>
      <c r="G20" s="167"/>
      <c r="I20" s="181"/>
      <c r="J20" s="182"/>
      <c r="K20" s="183"/>
      <c r="L20" s="184"/>
    </row>
    <row r="21" spans="2:12" ht="14.25">
      <c r="B21" s="162"/>
      <c r="C21" s="164"/>
      <c r="D21" s="162">
        <f>+D20+1228.98</f>
        <v>1497.4574025205477</v>
      </c>
      <c r="E21" s="165" t="s">
        <v>93</v>
      </c>
      <c r="F21" s="167"/>
      <c r="G21" s="167"/>
      <c r="I21" s="181"/>
      <c r="J21" s="182"/>
      <c r="K21" s="183"/>
      <c r="L21" s="184"/>
    </row>
    <row r="22" spans="2:12" ht="14.25">
      <c r="B22" s="616"/>
      <c r="C22" s="616"/>
      <c r="D22" s="616"/>
      <c r="E22" s="166"/>
      <c r="F22" s="140"/>
      <c r="G22" s="167"/>
      <c r="I22" s="181"/>
      <c r="J22" s="182"/>
      <c r="K22" s="183"/>
      <c r="L22" s="184"/>
    </row>
    <row r="23" spans="2:12" ht="14.25">
      <c r="B23" s="162"/>
      <c r="C23" s="162"/>
      <c r="D23" s="162"/>
      <c r="E23" s="166"/>
      <c r="F23" s="168"/>
      <c r="G23" s="140"/>
      <c r="I23" s="181"/>
      <c r="J23" s="182"/>
      <c r="K23" s="183"/>
      <c r="L23" s="184"/>
    </row>
    <row r="24" spans="2:12" ht="30.75" thickBot="1">
      <c r="B24" s="377" t="s">
        <v>108</v>
      </c>
      <c r="C24" s="378"/>
      <c r="D24" s="379"/>
      <c r="E24" s="379"/>
      <c r="F24" s="378"/>
      <c r="G24" s="380"/>
      <c r="I24" s="181"/>
      <c r="J24" s="182"/>
      <c r="K24" s="183"/>
      <c r="L24" s="184"/>
    </row>
    <row r="25" spans="2:12" ht="14.25">
      <c r="B25" s="141" t="s">
        <v>44</v>
      </c>
      <c r="C25" s="142"/>
      <c r="D25" s="143">
        <f>+D2</f>
        <v>43343</v>
      </c>
      <c r="E25" s="144">
        <f>1-D25</f>
        <v>-43342</v>
      </c>
      <c r="F25" s="145" t="s">
        <v>45</v>
      </c>
      <c r="G25" s="146">
        <f>1-E27</f>
        <v>86685</v>
      </c>
      <c r="I25" s="181"/>
      <c r="J25" s="182"/>
      <c r="K25" s="183"/>
      <c r="L25" s="184"/>
    </row>
    <row r="26" spans="2:12" ht="15" thickBot="1">
      <c r="B26" s="3" t="s">
        <v>47</v>
      </c>
      <c r="C26" s="4" t="s">
        <v>15</v>
      </c>
      <c r="D26" s="147">
        <f>1-E26</f>
        <v>-43341.5</v>
      </c>
      <c r="E26" s="5">
        <f>E28/2</f>
        <v>43342.5</v>
      </c>
      <c r="F26" s="148" t="s">
        <v>99</v>
      </c>
      <c r="G26" s="149">
        <f>1-G25</f>
        <v>-86684</v>
      </c>
      <c r="I26" s="181"/>
      <c r="J26" s="182"/>
      <c r="K26" s="183"/>
      <c r="L26" s="184"/>
    </row>
    <row r="27" spans="2:12" ht="15.75">
      <c r="B27" s="150" t="s">
        <v>52</v>
      </c>
      <c r="C27" s="274"/>
      <c r="D27" s="150" t="s">
        <v>53</v>
      </c>
      <c r="E27" s="6">
        <f>E25*2</f>
        <v>-86684</v>
      </c>
      <c r="F27" s="150" t="s">
        <v>54</v>
      </c>
      <c r="G27" s="274"/>
      <c r="I27" s="152"/>
      <c r="J27" s="152"/>
      <c r="K27" s="152"/>
      <c r="L27" s="174"/>
    </row>
    <row r="28" spans="2:12" ht="13.5" thickBot="1">
      <c r="B28" s="7"/>
      <c r="C28" s="151">
        <v>30</v>
      </c>
      <c r="D28" s="7"/>
      <c r="E28" s="9">
        <f>1-G26</f>
        <v>86685</v>
      </c>
      <c r="F28" s="7"/>
      <c r="G28" s="8"/>
      <c r="I28" s="152"/>
      <c r="J28" s="175"/>
      <c r="K28" s="152"/>
      <c r="L28" s="174"/>
    </row>
    <row r="29" spans="2:12">
      <c r="B29" s="10" t="s">
        <v>100</v>
      </c>
      <c r="C29" s="153">
        <f>FINIQUITO!C88</f>
        <v>10000</v>
      </c>
      <c r="D29" s="154" t="s">
        <v>101</v>
      </c>
      <c r="E29" s="11" t="e">
        <f>VLOOKUP(C32,I$19:L$28,1)</f>
        <v>#N/A</v>
      </c>
      <c r="F29" s="12" t="s">
        <v>56</v>
      </c>
      <c r="G29" s="13"/>
      <c r="I29" s="176"/>
      <c r="J29" s="176"/>
      <c r="K29" s="176"/>
      <c r="L29" s="137"/>
    </row>
    <row r="30" spans="2:12">
      <c r="B30" s="14" t="s">
        <v>57</v>
      </c>
      <c r="C30" s="155">
        <f>(C29/C28)*30</f>
        <v>10000</v>
      </c>
      <c r="D30" s="12" t="s">
        <v>102</v>
      </c>
      <c r="E30" s="15" t="e">
        <f>+C32-E29</f>
        <v>#N/A</v>
      </c>
      <c r="F30" s="16"/>
      <c r="G30" s="17"/>
      <c r="I30" s="176"/>
      <c r="J30" s="176"/>
      <c r="K30" s="176"/>
      <c r="L30" s="137"/>
    </row>
    <row r="31" spans="2:12">
      <c r="B31" s="14" t="s">
        <v>58</v>
      </c>
      <c r="C31" s="156"/>
      <c r="D31" s="12" t="s">
        <v>103</v>
      </c>
      <c r="E31" s="15">
        <f>+C36</f>
        <v>0.16</v>
      </c>
      <c r="F31" s="16"/>
      <c r="G31" s="17"/>
      <c r="I31" s="176"/>
      <c r="J31" s="176"/>
      <c r="K31" s="176"/>
      <c r="L31" s="137"/>
    </row>
    <row r="32" spans="2:12" ht="13.5" thickBot="1">
      <c r="B32" s="157" t="s">
        <v>59</v>
      </c>
      <c r="C32" s="158">
        <f>SUM(C30:C31)</f>
        <v>10000</v>
      </c>
      <c r="D32" s="12" t="s">
        <v>104</v>
      </c>
      <c r="E32" s="18" t="e">
        <f>+E30*E31</f>
        <v>#N/A</v>
      </c>
      <c r="F32" s="16"/>
      <c r="G32" s="17"/>
      <c r="I32" s="176"/>
      <c r="J32" s="176"/>
      <c r="K32" s="176"/>
      <c r="L32" s="137"/>
    </row>
    <row r="33" spans="2:12">
      <c r="B33" s="10" t="s">
        <v>60</v>
      </c>
      <c r="C33" s="11">
        <f>VLOOKUP(C32,I$5:L$15,1)</f>
        <v>8629.2100000000009</v>
      </c>
      <c r="D33" s="12" t="s">
        <v>61</v>
      </c>
      <c r="E33" s="19"/>
      <c r="F33" s="20"/>
      <c r="G33" s="21">
        <f>C40</f>
        <v>912.28639999999996</v>
      </c>
      <c r="I33" s="177"/>
      <c r="J33" s="177"/>
      <c r="K33" s="177"/>
    </row>
    <row r="34" spans="2:12" ht="15">
      <c r="B34" s="22" t="s">
        <v>102</v>
      </c>
      <c r="C34" s="11">
        <f>C32-C33</f>
        <v>1370.7899999999991</v>
      </c>
      <c r="D34" s="20" t="s">
        <v>62</v>
      </c>
      <c r="E34" s="23" t="e">
        <f>VLOOKUP(C32,I$19:L$28,4)</f>
        <v>#N/A</v>
      </c>
      <c r="F34" s="12" t="s">
        <v>54</v>
      </c>
      <c r="G34" s="24"/>
      <c r="I34" s="376" t="s">
        <v>0</v>
      </c>
      <c r="J34" s="276"/>
      <c r="K34" s="276"/>
    </row>
    <row r="35" spans="2:12">
      <c r="B35" s="12" t="s">
        <v>61</v>
      </c>
      <c r="C35" s="24"/>
      <c r="D35" s="22" t="s">
        <v>15</v>
      </c>
      <c r="E35" s="11" t="e">
        <f>E34*E32</f>
        <v>#N/A</v>
      </c>
      <c r="F35" s="20" t="s">
        <v>64</v>
      </c>
      <c r="G35" s="21">
        <f>VLOOKUP(C32,I36:K48,3)/30*C28</f>
        <v>0</v>
      </c>
      <c r="I35" s="180" t="s">
        <v>48</v>
      </c>
      <c r="J35" s="180" t="s">
        <v>49</v>
      </c>
      <c r="K35" s="180" t="s">
        <v>67</v>
      </c>
    </row>
    <row r="36" spans="2:12" ht="14.25">
      <c r="B36" s="20" t="s">
        <v>15</v>
      </c>
      <c r="C36" s="23">
        <f>VLOOKUP(C32,I$5:L$15,4)</f>
        <v>0.16</v>
      </c>
      <c r="D36" s="10" t="s">
        <v>63</v>
      </c>
      <c r="E36" s="11" t="e">
        <f>VLOOKUP(C32,I$19:L$28,3)</f>
        <v>#N/A</v>
      </c>
      <c r="F36" s="12"/>
      <c r="G36" s="24" t="s">
        <v>15</v>
      </c>
      <c r="I36" s="283">
        <v>0.01</v>
      </c>
      <c r="J36" s="284">
        <v>1768.96</v>
      </c>
      <c r="K36" s="283">
        <v>407.02</v>
      </c>
      <c r="L36" s="186"/>
    </row>
    <row r="37" spans="2:12" ht="14.25">
      <c r="B37" s="10" t="s">
        <v>55</v>
      </c>
      <c r="C37" s="11">
        <f>+C36*C34</f>
        <v>219.32639999999986</v>
      </c>
      <c r="D37" s="22"/>
      <c r="E37" s="11" t="e">
        <f>+E36+E35</f>
        <v>#N/A</v>
      </c>
      <c r="F37" s="159"/>
      <c r="G37" s="160"/>
      <c r="I37" s="284">
        <v>1768.97</v>
      </c>
      <c r="J37" s="284">
        <v>2653.38</v>
      </c>
      <c r="K37" s="283">
        <v>406.83</v>
      </c>
      <c r="L37" s="186"/>
    </row>
    <row r="38" spans="2:12" ht="14.25">
      <c r="B38" s="10" t="s">
        <v>63</v>
      </c>
      <c r="C38" s="11">
        <f>VLOOKUP(C32,I$5:L$15,3)</f>
        <v>692.96</v>
      </c>
      <c r="D38" s="12" t="s">
        <v>105</v>
      </c>
      <c r="E38" s="19"/>
      <c r="F38" s="159" t="s">
        <v>15</v>
      </c>
      <c r="G38" s="161"/>
      <c r="I38" s="284">
        <v>2653.39</v>
      </c>
      <c r="J38" s="284">
        <v>3472.84</v>
      </c>
      <c r="K38" s="283">
        <v>406.62</v>
      </c>
      <c r="L38" s="186"/>
    </row>
    <row r="39" spans="2:12" ht="15" thickBot="1">
      <c r="B39" s="12" t="s">
        <v>65</v>
      </c>
      <c r="C39" s="13"/>
      <c r="D39" s="20" t="s">
        <v>15</v>
      </c>
      <c r="E39" s="23">
        <f>G25</f>
        <v>86685</v>
      </c>
      <c r="F39" s="25" t="s">
        <v>107</v>
      </c>
      <c r="G39" s="138">
        <f>C40-G35</f>
        <v>912.28639999999996</v>
      </c>
      <c r="I39" s="284">
        <v>3472.85</v>
      </c>
      <c r="J39" s="284">
        <v>3537.87</v>
      </c>
      <c r="K39" s="283">
        <v>392.77</v>
      </c>
      <c r="L39" s="186"/>
    </row>
    <row r="40" spans="2:12" ht="15" thickBot="1">
      <c r="B40" s="25" t="s">
        <v>66</v>
      </c>
      <c r="C40" s="26">
        <f>((C38+C37)/30)*C28</f>
        <v>912.28639999999996</v>
      </c>
      <c r="D40" s="27" t="s">
        <v>106</v>
      </c>
      <c r="E40" s="28" t="e">
        <f>((E39*E37)/30)*C28</f>
        <v>#N/A</v>
      </c>
      <c r="I40" s="284">
        <v>3537.88</v>
      </c>
      <c r="J40" s="284">
        <v>4446.1499999999996</v>
      </c>
      <c r="K40" s="283">
        <v>382.46</v>
      </c>
      <c r="L40" s="186"/>
    </row>
    <row r="41" spans="2:12" ht="14.25">
      <c r="F41" s="191"/>
      <c r="I41" s="284">
        <v>4446.16</v>
      </c>
      <c r="J41" s="284">
        <v>4717.18</v>
      </c>
      <c r="K41" s="283">
        <v>354.23</v>
      </c>
      <c r="L41" s="186"/>
    </row>
    <row r="42" spans="2:12" ht="14.25">
      <c r="I42" s="284">
        <v>4717.1899999999996</v>
      </c>
      <c r="J42" s="284">
        <v>5335.42</v>
      </c>
      <c r="K42" s="283">
        <v>324.87</v>
      </c>
      <c r="L42" s="186"/>
    </row>
    <row r="43" spans="2:12" ht="14.25">
      <c r="I43" s="284">
        <v>5335.43</v>
      </c>
      <c r="J43" s="284">
        <v>6224.67</v>
      </c>
      <c r="K43" s="283">
        <v>294.63</v>
      </c>
      <c r="L43" s="186"/>
    </row>
    <row r="44" spans="2:12" ht="14.25">
      <c r="I44" s="284">
        <v>6224.68</v>
      </c>
      <c r="J44" s="284">
        <v>7113.9</v>
      </c>
      <c r="K44" s="283">
        <v>253.54</v>
      </c>
      <c r="L44" s="186"/>
    </row>
    <row r="45" spans="2:12" ht="14.25">
      <c r="I45" s="284">
        <v>7113.91</v>
      </c>
      <c r="J45" s="284">
        <v>7382.33</v>
      </c>
      <c r="K45" s="283">
        <v>217.61</v>
      </c>
      <c r="L45" s="186"/>
    </row>
    <row r="46" spans="2:12" ht="15" thickBot="1">
      <c r="I46" s="285">
        <v>7382.34</v>
      </c>
      <c r="J46" s="286">
        <v>999999999</v>
      </c>
      <c r="K46" s="286">
        <v>0</v>
      </c>
      <c r="L46" s="186"/>
    </row>
    <row r="47" spans="2:12" ht="15" thickTop="1">
      <c r="I47" s="185"/>
      <c r="J47" s="186"/>
      <c r="K47" s="187"/>
      <c r="L47" s="186"/>
    </row>
    <row r="48" spans="2:12" ht="15" thickBot="1">
      <c r="I48" s="188"/>
      <c r="J48" s="189"/>
      <c r="K48" s="190"/>
      <c r="L48" s="186"/>
    </row>
    <row r="50" spans="3:11">
      <c r="I50" s="139"/>
      <c r="K50" s="139"/>
    </row>
    <row r="51" spans="3:11">
      <c r="I51" s="169"/>
      <c r="K51" s="169"/>
    </row>
    <row r="62" spans="3:11">
      <c r="C62" s="2" t="s">
        <v>125</v>
      </c>
    </row>
  </sheetData>
  <mergeCells count="4">
    <mergeCell ref="B22:D22"/>
    <mergeCell ref="B5:B6"/>
    <mergeCell ref="C8:C9"/>
    <mergeCell ref="B8:B9"/>
  </mergeCells>
  <phoneticPr fontId="0" type="noConversion"/>
  <pageMargins left="0.74803149606299213" right="0.74803149606299213" top="0.98425196850393704" bottom="0.98425196850393704" header="0" footer="0"/>
  <pageSetup scale="40" orientation="landscape" horizontalDpi="300" verticalDpi="300" r:id="rId1"/>
  <headerFooter alignWithMargins="0"/>
  <colBreaks count="1" manualBreakCount="1">
    <brk id="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
  <sheetViews>
    <sheetView workbookViewId="0">
      <selection activeCell="C49" sqref="C49"/>
    </sheetView>
  </sheetViews>
  <sheetFormatPr baseColWidth="10" defaultRowHeight="12.75"/>
  <cols>
    <col min="1" max="1" width="17.140625" bestFit="1" customWidth="1"/>
    <col min="2" max="2" width="12" bestFit="1" customWidth="1"/>
    <col min="3" max="3" width="17.140625" bestFit="1" customWidth="1"/>
    <col min="4" max="4" width="12" bestFit="1" customWidth="1"/>
    <col min="5" max="5" width="12.85546875" bestFit="1" customWidth="1"/>
    <col min="6" max="6" width="15.42578125" bestFit="1" customWidth="1"/>
    <col min="7" max="7" width="19.5703125" bestFit="1" customWidth="1"/>
    <col min="8" max="8" width="17" bestFit="1" customWidth="1"/>
    <col min="9" max="10" width="10.28515625" bestFit="1" customWidth="1"/>
    <col min="11" max="11" width="11" bestFit="1" customWidth="1"/>
    <col min="12" max="12" width="9.5703125" bestFit="1" customWidth="1"/>
  </cols>
  <sheetData>
    <row r="1" spans="1:12" ht="15.75">
      <c r="C1" s="525"/>
      <c r="D1" s="526"/>
      <c r="E1" s="527"/>
      <c r="F1" s="528"/>
      <c r="G1" s="524"/>
      <c r="H1" s="524" t="s">
        <v>163</v>
      </c>
      <c r="I1" s="529"/>
      <c r="J1" s="529"/>
      <c r="K1" s="521"/>
      <c r="L1" s="530"/>
    </row>
    <row r="2" spans="1:12" ht="15.75">
      <c r="C2" s="525"/>
      <c r="D2" s="526"/>
      <c r="E2" s="527"/>
      <c r="F2" s="528"/>
      <c r="G2" s="524"/>
      <c r="H2" s="524">
        <f>FINIQUITO!G6</f>
        <v>80.599999999999994</v>
      </c>
      <c r="I2" s="529"/>
      <c r="J2" s="529"/>
      <c r="K2" s="521"/>
      <c r="L2" s="530">
        <f>25*H2</f>
        <v>2014.9999999999998</v>
      </c>
    </row>
    <row r="3" spans="1:12" ht="27" customHeight="1">
      <c r="A3" s="507" t="s">
        <v>241</v>
      </c>
      <c r="B3" s="508" t="s">
        <v>242</v>
      </c>
      <c r="C3" s="507" t="s">
        <v>241</v>
      </c>
      <c r="D3" s="508" t="s">
        <v>242</v>
      </c>
      <c r="E3" s="509" t="s">
        <v>243</v>
      </c>
      <c r="F3" s="510" t="s">
        <v>244</v>
      </c>
      <c r="G3" s="511" t="s">
        <v>245</v>
      </c>
      <c r="H3" s="511" t="s">
        <v>246</v>
      </c>
      <c r="I3" s="511" t="s">
        <v>132</v>
      </c>
      <c r="J3" s="511" t="s">
        <v>132</v>
      </c>
      <c r="K3" s="512" t="s">
        <v>247</v>
      </c>
      <c r="L3" s="513" t="s">
        <v>236</v>
      </c>
    </row>
    <row r="4" spans="1:12" ht="15.75">
      <c r="A4" s="514">
        <f>FINIQUITO!B19</f>
        <v>10000</v>
      </c>
      <c r="B4" s="515">
        <f>FINIQUITO!B16</f>
        <v>43419</v>
      </c>
      <c r="C4" s="531">
        <f>FINIQUITO!B19</f>
        <v>10000</v>
      </c>
      <c r="D4" s="515">
        <f>FINIQUITO!B15</f>
        <v>43419</v>
      </c>
      <c r="E4" s="517">
        <f t="shared" ref="E4" si="0">C4/30</f>
        <v>333.33333333333331</v>
      </c>
      <c r="F4" s="518">
        <f>LOOKUP(FINIQUITO!B25,'Tablas de Prestaciones'!$C$8:$C$50,'Tablas de Prestaciones'!$E$8:$E$50)</f>
        <v>6</v>
      </c>
      <c r="G4" s="519">
        <f>FINIQUITO!G33</f>
        <v>0.25</v>
      </c>
      <c r="H4" s="520">
        <f>(E4*F4*G4)/365</f>
        <v>1.3698630136986301</v>
      </c>
      <c r="I4" s="421">
        <f>FINIQUITO!G34</f>
        <v>15</v>
      </c>
      <c r="J4" s="516">
        <f>K4*I4/365</f>
        <v>13.698630136986301</v>
      </c>
      <c r="K4" s="522">
        <f>C4/30</f>
        <v>333.33333333333331</v>
      </c>
      <c r="L4" s="523">
        <f>IF((K4+H4+J4)&lt;L2,(K4+H4+J4),L2)</f>
        <v>348.40182648401827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rgb="FF957EEA"/>
  </sheetPr>
  <dimension ref="A1:IV65536"/>
  <sheetViews>
    <sheetView workbookViewId="0">
      <selection activeCell="E14" sqref="E14"/>
    </sheetView>
  </sheetViews>
  <sheetFormatPr baseColWidth="10" defaultColWidth="0" defaultRowHeight="12.75" zeroHeight="1"/>
  <cols>
    <col min="1" max="1" width="3.42578125" style="196" customWidth="1"/>
    <col min="2" max="2" width="14.7109375" style="344" customWidth="1"/>
    <col min="3" max="4" width="10.7109375" style="344" hidden="1" customWidth="1"/>
    <col min="5" max="5" width="16" style="344" customWidth="1"/>
    <col min="6" max="6" width="11.7109375" style="344" hidden="1" customWidth="1"/>
    <col min="7" max="7" width="28.28515625" style="344" customWidth="1"/>
    <col min="8" max="254" width="0" style="196" hidden="1" customWidth="1"/>
    <col min="255" max="255" width="15.28515625" style="196" hidden="1" customWidth="1"/>
    <col min="256" max="256" width="11" style="196" hidden="1" customWidth="1"/>
    <col min="257" max="16384" width="9.140625" style="196" hidden="1"/>
  </cols>
  <sheetData>
    <row r="1" spans="1:7" s="559" customFormat="1" ht="13.5" thickBot="1">
      <c r="A1" s="556"/>
      <c r="B1" s="557"/>
      <c r="C1" s="558" t="s">
        <v>161</v>
      </c>
      <c r="D1" s="557"/>
      <c r="E1" s="557"/>
      <c r="F1" s="557"/>
      <c r="G1" s="557"/>
    </row>
    <row r="2" spans="1:7" s="559" customFormat="1" ht="30.75" customHeight="1" thickBot="1">
      <c r="A2" s="556"/>
      <c r="C2" s="561"/>
      <c r="D2" s="561"/>
      <c r="E2" s="562" t="s">
        <v>253</v>
      </c>
      <c r="F2" s="557"/>
      <c r="G2" s="557"/>
    </row>
    <row r="3" spans="1:7" s="559" customFormat="1">
      <c r="A3" s="556"/>
      <c r="C3" s="552"/>
      <c r="D3" s="551"/>
      <c r="E3" s="554">
        <v>0.25</v>
      </c>
      <c r="F3" s="557"/>
      <c r="G3" s="557"/>
    </row>
    <row r="4" spans="1:7" s="559" customFormat="1" ht="8.25" customHeight="1" thickBot="1">
      <c r="A4" s="556"/>
      <c r="B4" s="557"/>
      <c r="C4" s="558"/>
      <c r="D4" s="557"/>
      <c r="E4" s="557"/>
      <c r="F4" s="557"/>
      <c r="G4" s="557"/>
    </row>
    <row r="5" spans="1:7" s="559" customFormat="1" ht="33.75" customHeight="1" thickBot="1">
      <c r="A5" s="556"/>
      <c r="B5" s="560" t="s">
        <v>249</v>
      </c>
      <c r="C5" s="564" t="s">
        <v>150</v>
      </c>
      <c r="D5" s="564" t="s">
        <v>151</v>
      </c>
      <c r="E5" s="562" t="s">
        <v>248</v>
      </c>
      <c r="F5" s="565" t="s">
        <v>152</v>
      </c>
      <c r="G5" s="557"/>
    </row>
    <row r="6" spans="1:7" s="559" customFormat="1" hidden="1">
      <c r="A6" s="556"/>
      <c r="B6" s="563"/>
      <c r="C6" s="563"/>
      <c r="D6" s="563">
        <v>365</v>
      </c>
      <c r="E6" s="563"/>
      <c r="F6" s="566"/>
      <c r="G6" s="557"/>
    </row>
    <row r="7" spans="1:7" s="559" customFormat="1" hidden="1">
      <c r="A7" s="556"/>
      <c r="B7" s="567">
        <v>0</v>
      </c>
      <c r="C7" s="567">
        <v>0</v>
      </c>
      <c r="D7" s="567">
        <v>0</v>
      </c>
      <c r="E7" s="567">
        <v>6</v>
      </c>
      <c r="F7" s="568">
        <v>0</v>
      </c>
      <c r="G7" s="569"/>
    </row>
    <row r="8" spans="1:7" s="570" customFormat="1">
      <c r="A8" s="556"/>
      <c r="B8" s="567">
        <v>1</v>
      </c>
      <c r="C8" s="567">
        <v>0</v>
      </c>
      <c r="D8" s="567">
        <v>365</v>
      </c>
      <c r="E8" s="555">
        <v>6</v>
      </c>
      <c r="F8" s="566">
        <v>0</v>
      </c>
      <c r="G8" s="557"/>
    </row>
    <row r="9" spans="1:7" s="559" customFormat="1">
      <c r="A9" s="556"/>
      <c r="B9" s="567">
        <v>2</v>
      </c>
      <c r="C9" s="567">
        <v>366</v>
      </c>
      <c r="D9" s="567">
        <v>730</v>
      </c>
      <c r="E9" s="555">
        <v>8</v>
      </c>
      <c r="F9" s="566">
        <f t="shared" ref="F9:F50" si="0">+E8+F8</f>
        <v>6</v>
      </c>
      <c r="G9" s="557"/>
    </row>
    <row r="10" spans="1:7" s="559" customFormat="1">
      <c r="A10" s="556"/>
      <c r="B10" s="567">
        <v>3</v>
      </c>
      <c r="C10" s="567">
        <v>731</v>
      </c>
      <c r="D10" s="567">
        <v>1095</v>
      </c>
      <c r="E10" s="555">
        <v>10</v>
      </c>
      <c r="F10" s="566">
        <f t="shared" si="0"/>
        <v>14</v>
      </c>
      <c r="G10" s="557"/>
    </row>
    <row r="11" spans="1:7" s="559" customFormat="1">
      <c r="A11" s="556"/>
      <c r="B11" s="567">
        <v>4</v>
      </c>
      <c r="C11" s="567">
        <v>1096</v>
      </c>
      <c r="D11" s="567">
        <v>1460</v>
      </c>
      <c r="E11" s="555">
        <v>12</v>
      </c>
      <c r="F11" s="566">
        <f t="shared" si="0"/>
        <v>24</v>
      </c>
      <c r="G11" s="557"/>
    </row>
    <row r="12" spans="1:7" s="559" customFormat="1">
      <c r="A12" s="556"/>
      <c r="B12" s="567">
        <v>5</v>
      </c>
      <c r="C12" s="567">
        <v>1461</v>
      </c>
      <c r="D12" s="567">
        <v>1825</v>
      </c>
      <c r="E12" s="555">
        <v>14</v>
      </c>
      <c r="F12" s="566">
        <f t="shared" si="0"/>
        <v>36</v>
      </c>
      <c r="G12" s="557"/>
    </row>
    <row r="13" spans="1:7" s="559" customFormat="1">
      <c r="A13" s="556"/>
      <c r="B13" s="567">
        <v>6</v>
      </c>
      <c r="C13" s="567">
        <v>1826</v>
      </c>
      <c r="D13" s="567">
        <v>2190</v>
      </c>
      <c r="E13" s="555">
        <v>14</v>
      </c>
      <c r="F13" s="566">
        <f t="shared" si="0"/>
        <v>50</v>
      </c>
      <c r="G13" s="557"/>
    </row>
    <row r="14" spans="1:7" s="559" customFormat="1">
      <c r="A14" s="556"/>
      <c r="B14" s="567">
        <v>7</v>
      </c>
      <c r="C14" s="567">
        <v>2191</v>
      </c>
      <c r="D14" s="567">
        <v>2555</v>
      </c>
      <c r="E14" s="555">
        <v>14</v>
      </c>
      <c r="F14" s="566">
        <f t="shared" si="0"/>
        <v>64</v>
      </c>
      <c r="G14" s="557"/>
    </row>
    <row r="15" spans="1:7" s="559" customFormat="1">
      <c r="A15" s="556"/>
      <c r="B15" s="567">
        <v>8</v>
      </c>
      <c r="C15" s="567">
        <v>2556</v>
      </c>
      <c r="D15" s="567">
        <v>2920</v>
      </c>
      <c r="E15" s="555">
        <v>14</v>
      </c>
      <c r="F15" s="566">
        <f t="shared" si="0"/>
        <v>78</v>
      </c>
      <c r="G15" s="557"/>
    </row>
    <row r="16" spans="1:7" s="559" customFormat="1">
      <c r="A16" s="556"/>
      <c r="B16" s="567">
        <v>9</v>
      </c>
      <c r="C16" s="567">
        <v>2921</v>
      </c>
      <c r="D16" s="567">
        <v>3285</v>
      </c>
      <c r="E16" s="555">
        <v>14</v>
      </c>
      <c r="F16" s="566">
        <f t="shared" si="0"/>
        <v>92</v>
      </c>
      <c r="G16" s="557"/>
    </row>
    <row r="17" spans="1:7" s="559" customFormat="1">
      <c r="A17" s="556"/>
      <c r="B17" s="567">
        <v>10</v>
      </c>
      <c r="C17" s="567">
        <v>3286</v>
      </c>
      <c r="D17" s="567">
        <v>3650</v>
      </c>
      <c r="E17" s="555">
        <v>16</v>
      </c>
      <c r="F17" s="566">
        <f t="shared" si="0"/>
        <v>106</v>
      </c>
      <c r="G17" s="557"/>
    </row>
    <row r="18" spans="1:7" s="559" customFormat="1">
      <c r="A18" s="556"/>
      <c r="B18" s="567">
        <v>11</v>
      </c>
      <c r="C18" s="567">
        <v>3651</v>
      </c>
      <c r="D18" s="567">
        <v>4015</v>
      </c>
      <c r="E18" s="555">
        <v>16</v>
      </c>
      <c r="F18" s="566">
        <f t="shared" si="0"/>
        <v>122</v>
      </c>
      <c r="G18" s="557"/>
    </row>
    <row r="19" spans="1:7" s="559" customFormat="1">
      <c r="A19" s="556"/>
      <c r="B19" s="567">
        <v>12</v>
      </c>
      <c r="C19" s="567">
        <v>4016</v>
      </c>
      <c r="D19" s="567">
        <v>4380</v>
      </c>
      <c r="E19" s="555">
        <v>16</v>
      </c>
      <c r="F19" s="566">
        <f t="shared" si="0"/>
        <v>138</v>
      </c>
      <c r="G19" s="557"/>
    </row>
    <row r="20" spans="1:7" s="559" customFormat="1">
      <c r="A20" s="556"/>
      <c r="B20" s="567">
        <v>13</v>
      </c>
      <c r="C20" s="567">
        <v>4381</v>
      </c>
      <c r="D20" s="567">
        <v>4745</v>
      </c>
      <c r="E20" s="555">
        <v>16</v>
      </c>
      <c r="F20" s="566">
        <f t="shared" si="0"/>
        <v>154</v>
      </c>
      <c r="G20" s="557"/>
    </row>
    <row r="21" spans="1:7" s="559" customFormat="1">
      <c r="A21" s="556"/>
      <c r="B21" s="567">
        <v>14</v>
      </c>
      <c r="C21" s="567">
        <v>4746</v>
      </c>
      <c r="D21" s="567">
        <v>5110</v>
      </c>
      <c r="E21" s="555">
        <v>16</v>
      </c>
      <c r="F21" s="566">
        <f t="shared" si="0"/>
        <v>170</v>
      </c>
      <c r="G21" s="557"/>
    </row>
    <row r="22" spans="1:7" s="559" customFormat="1">
      <c r="A22" s="556"/>
      <c r="B22" s="567">
        <v>15</v>
      </c>
      <c r="C22" s="567">
        <v>5111</v>
      </c>
      <c r="D22" s="567">
        <v>5475</v>
      </c>
      <c r="E22" s="555">
        <v>18</v>
      </c>
      <c r="F22" s="566">
        <f t="shared" si="0"/>
        <v>186</v>
      </c>
      <c r="G22" s="557"/>
    </row>
    <row r="23" spans="1:7" s="559" customFormat="1">
      <c r="A23" s="556"/>
      <c r="B23" s="567">
        <v>16</v>
      </c>
      <c r="C23" s="567">
        <v>5476</v>
      </c>
      <c r="D23" s="567">
        <v>5840</v>
      </c>
      <c r="E23" s="555">
        <v>18</v>
      </c>
      <c r="F23" s="566">
        <f t="shared" si="0"/>
        <v>204</v>
      </c>
      <c r="G23" s="557"/>
    </row>
    <row r="24" spans="1:7" s="559" customFormat="1">
      <c r="A24" s="556"/>
      <c r="B24" s="567">
        <v>17</v>
      </c>
      <c r="C24" s="567">
        <v>5841</v>
      </c>
      <c r="D24" s="567">
        <v>6205</v>
      </c>
      <c r="E24" s="555">
        <v>18</v>
      </c>
      <c r="F24" s="566">
        <f t="shared" si="0"/>
        <v>222</v>
      </c>
      <c r="G24" s="557"/>
    </row>
    <row r="25" spans="1:7" s="559" customFormat="1">
      <c r="A25" s="556"/>
      <c r="B25" s="567">
        <v>18</v>
      </c>
      <c r="C25" s="567">
        <v>6206</v>
      </c>
      <c r="D25" s="567">
        <v>6570</v>
      </c>
      <c r="E25" s="555">
        <v>18</v>
      </c>
      <c r="F25" s="566">
        <f t="shared" si="0"/>
        <v>240</v>
      </c>
      <c r="G25" s="557"/>
    </row>
    <row r="26" spans="1:7" s="559" customFormat="1">
      <c r="A26" s="556"/>
      <c r="B26" s="567">
        <v>19</v>
      </c>
      <c r="C26" s="567">
        <v>6571</v>
      </c>
      <c r="D26" s="567">
        <v>6935</v>
      </c>
      <c r="E26" s="555">
        <v>18</v>
      </c>
      <c r="F26" s="566">
        <f t="shared" si="0"/>
        <v>258</v>
      </c>
      <c r="G26" s="569"/>
    </row>
    <row r="27" spans="1:7" s="559" customFormat="1">
      <c r="A27" s="556"/>
      <c r="B27" s="567">
        <v>20</v>
      </c>
      <c r="C27" s="567">
        <v>6936</v>
      </c>
      <c r="D27" s="567">
        <v>7300</v>
      </c>
      <c r="E27" s="555">
        <v>20</v>
      </c>
      <c r="F27" s="566">
        <f t="shared" si="0"/>
        <v>276</v>
      </c>
      <c r="G27" s="569"/>
    </row>
    <row r="28" spans="1:7" s="559" customFormat="1">
      <c r="A28" s="556"/>
      <c r="B28" s="567">
        <v>21</v>
      </c>
      <c r="C28" s="567">
        <v>7301</v>
      </c>
      <c r="D28" s="567">
        <v>7665</v>
      </c>
      <c r="E28" s="555">
        <v>20</v>
      </c>
      <c r="F28" s="566">
        <f t="shared" si="0"/>
        <v>296</v>
      </c>
      <c r="G28" s="557"/>
    </row>
    <row r="29" spans="1:7" s="559" customFormat="1">
      <c r="A29" s="556"/>
      <c r="B29" s="567">
        <v>22</v>
      </c>
      <c r="C29" s="567">
        <v>7666</v>
      </c>
      <c r="D29" s="567">
        <v>8030</v>
      </c>
      <c r="E29" s="555">
        <v>20</v>
      </c>
      <c r="F29" s="566">
        <f t="shared" si="0"/>
        <v>316</v>
      </c>
      <c r="G29" s="557"/>
    </row>
    <row r="30" spans="1:7" s="559" customFormat="1">
      <c r="A30" s="556"/>
      <c r="B30" s="567">
        <v>23</v>
      </c>
      <c r="C30" s="567">
        <v>8031</v>
      </c>
      <c r="D30" s="567">
        <v>8395</v>
      </c>
      <c r="E30" s="555">
        <v>20</v>
      </c>
      <c r="F30" s="566">
        <f t="shared" si="0"/>
        <v>336</v>
      </c>
      <c r="G30" s="557"/>
    </row>
    <row r="31" spans="1:7" s="559" customFormat="1">
      <c r="A31" s="556"/>
      <c r="B31" s="567">
        <v>24</v>
      </c>
      <c r="C31" s="567">
        <v>8396</v>
      </c>
      <c r="D31" s="567">
        <v>8760</v>
      </c>
      <c r="E31" s="555">
        <v>20</v>
      </c>
      <c r="F31" s="566">
        <f t="shared" si="0"/>
        <v>356</v>
      </c>
      <c r="G31" s="557"/>
    </row>
    <row r="32" spans="1:7" s="559" customFormat="1">
      <c r="A32" s="556"/>
      <c r="B32" s="567">
        <v>25</v>
      </c>
      <c r="C32" s="567">
        <v>8761</v>
      </c>
      <c r="D32" s="567">
        <v>9125</v>
      </c>
      <c r="E32" s="555">
        <v>22</v>
      </c>
      <c r="F32" s="566">
        <f t="shared" si="0"/>
        <v>376</v>
      </c>
      <c r="G32" s="557"/>
    </row>
    <row r="33" spans="1:7" s="559" customFormat="1">
      <c r="A33" s="556"/>
      <c r="B33" s="567">
        <v>26</v>
      </c>
      <c r="C33" s="567">
        <v>9126</v>
      </c>
      <c r="D33" s="567">
        <v>9490</v>
      </c>
      <c r="E33" s="555">
        <v>22</v>
      </c>
      <c r="F33" s="566">
        <f t="shared" si="0"/>
        <v>398</v>
      </c>
      <c r="G33" s="557"/>
    </row>
    <row r="34" spans="1:7" s="559" customFormat="1">
      <c r="A34" s="556"/>
      <c r="B34" s="567">
        <v>27</v>
      </c>
      <c r="C34" s="567">
        <v>9491</v>
      </c>
      <c r="D34" s="567">
        <v>9855</v>
      </c>
      <c r="E34" s="555">
        <v>22</v>
      </c>
      <c r="F34" s="566">
        <f t="shared" si="0"/>
        <v>420</v>
      </c>
      <c r="G34" s="557"/>
    </row>
    <row r="35" spans="1:7" s="559" customFormat="1">
      <c r="A35" s="556"/>
      <c r="B35" s="567">
        <v>28</v>
      </c>
      <c r="C35" s="567">
        <v>9856</v>
      </c>
      <c r="D35" s="567">
        <v>10220</v>
      </c>
      <c r="E35" s="555">
        <v>22</v>
      </c>
      <c r="F35" s="566">
        <f t="shared" si="0"/>
        <v>442</v>
      </c>
      <c r="G35" s="557"/>
    </row>
    <row r="36" spans="1:7" s="559" customFormat="1">
      <c r="A36" s="556"/>
      <c r="B36" s="567">
        <v>29</v>
      </c>
      <c r="C36" s="567">
        <v>10221</v>
      </c>
      <c r="D36" s="567">
        <v>10585</v>
      </c>
      <c r="E36" s="555">
        <v>22</v>
      </c>
      <c r="F36" s="566">
        <f t="shared" si="0"/>
        <v>464</v>
      </c>
      <c r="G36" s="557"/>
    </row>
    <row r="37" spans="1:7" s="559" customFormat="1">
      <c r="A37" s="556"/>
      <c r="B37" s="567">
        <v>30</v>
      </c>
      <c r="C37" s="567">
        <v>10586</v>
      </c>
      <c r="D37" s="567">
        <v>10950</v>
      </c>
      <c r="E37" s="555">
        <v>24</v>
      </c>
      <c r="F37" s="566">
        <f t="shared" si="0"/>
        <v>486</v>
      </c>
      <c r="G37" s="557"/>
    </row>
    <row r="38" spans="1:7" s="559" customFormat="1">
      <c r="A38" s="556"/>
      <c r="B38" s="567">
        <v>31</v>
      </c>
      <c r="C38" s="567">
        <v>10951</v>
      </c>
      <c r="D38" s="567">
        <v>11315</v>
      </c>
      <c r="E38" s="555">
        <v>24</v>
      </c>
      <c r="F38" s="566">
        <f t="shared" si="0"/>
        <v>510</v>
      </c>
      <c r="G38" s="557"/>
    </row>
    <row r="39" spans="1:7" s="559" customFormat="1">
      <c r="A39" s="556"/>
      <c r="B39" s="567">
        <v>32</v>
      </c>
      <c r="C39" s="567">
        <v>11316</v>
      </c>
      <c r="D39" s="567">
        <v>11680</v>
      </c>
      <c r="E39" s="555">
        <v>24</v>
      </c>
      <c r="F39" s="566">
        <f t="shared" si="0"/>
        <v>534</v>
      </c>
      <c r="G39" s="557"/>
    </row>
    <row r="40" spans="1:7" s="559" customFormat="1">
      <c r="A40" s="556"/>
      <c r="B40" s="567">
        <v>33</v>
      </c>
      <c r="C40" s="567">
        <v>11681</v>
      </c>
      <c r="D40" s="567">
        <v>12045</v>
      </c>
      <c r="E40" s="555">
        <v>24</v>
      </c>
      <c r="F40" s="566">
        <f t="shared" si="0"/>
        <v>558</v>
      </c>
      <c r="G40" s="557"/>
    </row>
    <row r="41" spans="1:7" s="559" customFormat="1">
      <c r="A41" s="556"/>
      <c r="B41" s="567">
        <v>34</v>
      </c>
      <c r="C41" s="567">
        <v>12046</v>
      </c>
      <c r="D41" s="567">
        <v>12410</v>
      </c>
      <c r="E41" s="555">
        <v>24</v>
      </c>
      <c r="F41" s="566">
        <f t="shared" si="0"/>
        <v>582</v>
      </c>
      <c r="G41" s="557"/>
    </row>
    <row r="42" spans="1:7" s="559" customFormat="1">
      <c r="A42" s="556"/>
      <c r="B42" s="567">
        <v>35</v>
      </c>
      <c r="C42" s="567">
        <v>12411</v>
      </c>
      <c r="D42" s="567">
        <v>12775</v>
      </c>
      <c r="E42" s="555">
        <v>26</v>
      </c>
      <c r="F42" s="566">
        <f t="shared" si="0"/>
        <v>606</v>
      </c>
      <c r="G42" s="557"/>
    </row>
    <row r="43" spans="1:7" s="559" customFormat="1">
      <c r="A43" s="556"/>
      <c r="B43" s="567">
        <v>36</v>
      </c>
      <c r="C43" s="567">
        <v>12776</v>
      </c>
      <c r="D43" s="567">
        <v>13140</v>
      </c>
      <c r="E43" s="555">
        <v>26</v>
      </c>
      <c r="F43" s="566">
        <f t="shared" si="0"/>
        <v>632</v>
      </c>
      <c r="G43" s="557"/>
    </row>
    <row r="44" spans="1:7" s="559" customFormat="1">
      <c r="A44" s="556"/>
      <c r="B44" s="567">
        <v>37</v>
      </c>
      <c r="C44" s="567">
        <v>13141</v>
      </c>
      <c r="D44" s="567">
        <v>13505</v>
      </c>
      <c r="E44" s="555">
        <v>26</v>
      </c>
      <c r="F44" s="566">
        <f t="shared" si="0"/>
        <v>658</v>
      </c>
      <c r="G44" s="557"/>
    </row>
    <row r="45" spans="1:7" s="559" customFormat="1">
      <c r="A45" s="556"/>
      <c r="B45" s="567">
        <v>38</v>
      </c>
      <c r="C45" s="567">
        <v>13506</v>
      </c>
      <c r="D45" s="567">
        <v>13870</v>
      </c>
      <c r="E45" s="555">
        <v>26</v>
      </c>
      <c r="F45" s="566">
        <f t="shared" si="0"/>
        <v>684</v>
      </c>
      <c r="G45" s="557"/>
    </row>
    <row r="46" spans="1:7" s="559" customFormat="1">
      <c r="A46" s="556"/>
      <c r="B46" s="567">
        <v>39</v>
      </c>
      <c r="C46" s="567">
        <v>13871</v>
      </c>
      <c r="D46" s="567">
        <v>14235</v>
      </c>
      <c r="E46" s="555">
        <v>26</v>
      </c>
      <c r="F46" s="566">
        <f t="shared" si="0"/>
        <v>710</v>
      </c>
      <c r="G46" s="557"/>
    </row>
    <row r="47" spans="1:7" s="559" customFormat="1">
      <c r="A47" s="556"/>
      <c r="B47" s="567">
        <v>40</v>
      </c>
      <c r="C47" s="567">
        <v>14236</v>
      </c>
      <c r="D47" s="567">
        <v>14600</v>
      </c>
      <c r="E47" s="555">
        <v>28</v>
      </c>
      <c r="F47" s="566">
        <f t="shared" si="0"/>
        <v>736</v>
      </c>
      <c r="G47" s="557"/>
    </row>
    <row r="48" spans="1:7" s="559" customFormat="1">
      <c r="A48" s="556"/>
      <c r="B48" s="567">
        <v>41</v>
      </c>
      <c r="C48" s="567">
        <v>14601</v>
      </c>
      <c r="D48" s="567">
        <v>14965</v>
      </c>
      <c r="E48" s="555">
        <v>28</v>
      </c>
      <c r="F48" s="566">
        <f t="shared" si="0"/>
        <v>764</v>
      </c>
      <c r="G48" s="557"/>
    </row>
    <row r="49" spans="1:7" s="559" customFormat="1">
      <c r="A49" s="556"/>
      <c r="B49" s="567">
        <v>42</v>
      </c>
      <c r="C49" s="567">
        <v>14966</v>
      </c>
      <c r="D49" s="567">
        <v>15330</v>
      </c>
      <c r="E49" s="555">
        <v>28</v>
      </c>
      <c r="F49" s="566">
        <f t="shared" si="0"/>
        <v>792</v>
      </c>
      <c r="G49" s="557"/>
    </row>
    <row r="50" spans="1:7" s="559" customFormat="1">
      <c r="A50" s="556"/>
      <c r="B50" s="567">
        <v>43</v>
      </c>
      <c r="C50" s="567">
        <v>15331</v>
      </c>
      <c r="D50" s="567">
        <v>15695</v>
      </c>
      <c r="E50" s="555">
        <v>28</v>
      </c>
      <c r="F50" s="566">
        <f t="shared" si="0"/>
        <v>820</v>
      </c>
      <c r="G50" s="557"/>
    </row>
    <row r="51" spans="1:7" s="559" customFormat="1">
      <c r="A51" s="556"/>
      <c r="B51" s="557"/>
      <c r="C51" s="557"/>
      <c r="D51" s="557"/>
      <c r="E51" s="557"/>
      <c r="F51" s="557"/>
      <c r="G51" s="557"/>
    </row>
    <row r="52" spans="1:7" hidden="1">
      <c r="A52" s="532"/>
      <c r="B52" s="497"/>
      <c r="C52" s="497"/>
      <c r="D52" s="497"/>
      <c r="E52" s="497"/>
      <c r="F52" s="497"/>
      <c r="G52" s="497"/>
    </row>
    <row r="53" spans="1:7" hidden="1"/>
    <row r="54" spans="1:7" hidden="1"/>
    <row r="55" spans="1:7" hidden="1"/>
    <row r="56" spans="1:7" hidden="1"/>
    <row r="57" spans="1:7" hidden="1"/>
    <row r="58" spans="1:7" hidden="1"/>
    <row r="59" spans="1:7" hidden="1"/>
    <row r="60" spans="1:7" hidden="1"/>
    <row r="61" spans="1:7" hidden="1"/>
    <row r="62" spans="1:7" hidden="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phoneticPr fontId="3" type="noConversion"/>
  <pageMargins left="0.75" right="0.75" top="1" bottom="1" header="0.5" footer="0.5"/>
  <pageSetup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2"/>
  <dimension ref="A1:M27"/>
  <sheetViews>
    <sheetView workbookViewId="0">
      <selection activeCell="G1" sqref="G1"/>
    </sheetView>
  </sheetViews>
  <sheetFormatPr baseColWidth="10" defaultRowHeight="12.75"/>
  <cols>
    <col min="1" max="1" width="17.7109375" bestFit="1" customWidth="1"/>
    <col min="2" max="2" width="15.42578125" bestFit="1" customWidth="1"/>
    <col min="3" max="3" width="13.7109375" style="42" bestFit="1" customWidth="1"/>
    <col min="4" max="4" width="10.140625" style="42" bestFit="1" customWidth="1"/>
    <col min="5" max="5" width="13.28515625" style="42" bestFit="1" customWidth="1"/>
    <col min="6" max="6" width="10.85546875" style="42" bestFit="1" customWidth="1"/>
    <col min="7" max="7" width="10.140625" style="42" bestFit="1" customWidth="1"/>
    <col min="8" max="8" width="13.7109375" style="42" bestFit="1" customWidth="1"/>
    <col min="9" max="9" width="12.7109375" bestFit="1" customWidth="1"/>
    <col min="10" max="10" width="10.42578125" bestFit="1" customWidth="1"/>
    <col min="11" max="11" width="9.5703125" bestFit="1" customWidth="1"/>
    <col min="12" max="12" width="13.7109375" bestFit="1" customWidth="1"/>
    <col min="13" max="13" width="14.85546875" bestFit="1" customWidth="1"/>
  </cols>
  <sheetData>
    <row r="1" spans="1:13" ht="18.75">
      <c r="A1" s="313" t="s">
        <v>158</v>
      </c>
      <c r="F1" s="314">
        <f>+K4*1.3*30.4</f>
        <v>3185.3119999999999</v>
      </c>
      <c r="G1" s="315">
        <v>2433</v>
      </c>
    </row>
    <row r="2" spans="1:13" ht="15">
      <c r="A2" s="316" t="s">
        <v>138</v>
      </c>
      <c r="F2" s="314">
        <f>+IF(C4*$F$7&gt;F1,F1,C4*$F$7)</f>
        <v>1300</v>
      </c>
      <c r="G2" s="433">
        <f>FINIQUITO!G47*30</f>
        <v>0</v>
      </c>
      <c r="H2" s="315">
        <f>+K4*0.4*30</f>
        <v>967.2</v>
      </c>
    </row>
    <row r="3" spans="1:13">
      <c r="A3" s="317"/>
    </row>
    <row r="4" spans="1:13" ht="15">
      <c r="A4" s="318" t="s">
        <v>110</v>
      </c>
      <c r="B4" s="318"/>
      <c r="C4" s="319">
        <f>+FINIQUITO!B19</f>
        <v>10000</v>
      </c>
      <c r="E4" s="303"/>
      <c r="J4" s="320" t="s">
        <v>139</v>
      </c>
      <c r="K4" s="415">
        <f>FINIQUITO!G6</f>
        <v>80.599999999999994</v>
      </c>
    </row>
    <row r="6" spans="1:13" ht="15">
      <c r="A6" s="321" t="s">
        <v>140</v>
      </c>
      <c r="B6" s="322" t="s">
        <v>141</v>
      </c>
      <c r="C6" s="323" t="s">
        <v>142</v>
      </c>
      <c r="D6" s="323" t="s">
        <v>132</v>
      </c>
      <c r="E6" s="324" t="s">
        <v>143</v>
      </c>
      <c r="F6" s="324" t="s">
        <v>120</v>
      </c>
      <c r="G6" s="323" t="s">
        <v>119</v>
      </c>
      <c r="H6" s="323" t="s">
        <v>144</v>
      </c>
      <c r="I6" s="325" t="s">
        <v>145</v>
      </c>
      <c r="J6" s="325" t="s">
        <v>146</v>
      </c>
      <c r="K6" s="325" t="s">
        <v>147</v>
      </c>
      <c r="M6" s="416" t="s">
        <v>159</v>
      </c>
    </row>
    <row r="7" spans="1:13" ht="15">
      <c r="A7" s="326"/>
      <c r="B7" s="326"/>
      <c r="C7" s="417">
        <v>0.5</v>
      </c>
      <c r="D7" s="417">
        <v>20</v>
      </c>
      <c r="E7" s="55"/>
      <c r="F7" s="328">
        <v>0.13</v>
      </c>
      <c r="G7" s="328">
        <v>0.17</v>
      </c>
      <c r="I7" s="197"/>
      <c r="J7" s="197"/>
      <c r="K7" s="315">
        <f>+K4*25</f>
        <v>2014.9999999999998</v>
      </c>
    </row>
    <row r="8" spans="1:13" ht="15">
      <c r="A8" s="321">
        <v>1</v>
      </c>
      <c r="B8" s="321">
        <v>10</v>
      </c>
      <c r="C8" s="329">
        <f>+ROUND((B8*$C$7/365)*J8,2)</f>
        <v>4.57</v>
      </c>
      <c r="D8" s="329">
        <f>+ROUND(($D$7/365)*J8,2)</f>
        <v>18.260000000000002</v>
      </c>
      <c r="E8" s="329">
        <f>+C8+D8</f>
        <v>22.830000000000002</v>
      </c>
      <c r="F8" s="329">
        <f>FINIQUITO!G46</f>
        <v>0</v>
      </c>
      <c r="G8" s="329">
        <f>FINIQUITO!G47</f>
        <v>0</v>
      </c>
      <c r="H8" s="329">
        <f>+IF($G$2&lt;$G$1,$G$2-$H$2,$G$1-$H$2)/30</f>
        <v>-32.24</v>
      </c>
      <c r="I8" s="330">
        <f t="shared" ref="I8:I27" si="0">+$C$4/30</f>
        <v>333.33333333333331</v>
      </c>
      <c r="J8" s="418">
        <f>+I8+F8+G8</f>
        <v>333.33333333333331</v>
      </c>
      <c r="K8" s="419">
        <f>+IF(I8+E8+H8&gt;$K$7,$K$7,E8+H8+I8)</f>
        <v>323.92333333333329</v>
      </c>
      <c r="L8" s="420" t="s">
        <v>160</v>
      </c>
    </row>
    <row r="9" spans="1:13" ht="15">
      <c r="A9" s="321">
        <v>2</v>
      </c>
      <c r="B9" s="321">
        <v>10</v>
      </c>
      <c r="C9" s="329">
        <f t="shared" ref="C9:C27" si="1">+ROUND((B9*$C$7/365)*J9,2)</f>
        <v>5.16</v>
      </c>
      <c r="D9" s="329">
        <f t="shared" ref="D9:D27" si="2">+ROUND(($D$7/365)*J9,2)</f>
        <v>20.64</v>
      </c>
      <c r="E9" s="329">
        <f t="shared" ref="E9:E27" si="3">+C9+D9</f>
        <v>25.8</v>
      </c>
      <c r="F9" s="329">
        <f t="shared" ref="F9:F27" si="4">+IF($C$4*$F$7&gt;$F$1,ROUND($F$1/30,2),$F$2/30)</f>
        <v>43.333333333333336</v>
      </c>
      <c r="G9" s="329">
        <f t="shared" ref="G9:G27" si="5">+IF($C$4*$G$7&gt;$G$1,ROUND($G$1/30,2),$G$2/30)</f>
        <v>0</v>
      </c>
      <c r="H9" s="329">
        <f t="shared" ref="H9:H27" si="6">+IF($G$2&lt;$G$1,$G$2-$H$2,$G$1-$H$2)/30</f>
        <v>-32.24</v>
      </c>
      <c r="I9" s="330">
        <f t="shared" si="0"/>
        <v>333.33333333333331</v>
      </c>
      <c r="J9" s="418">
        <f t="shared" ref="J9:J27" si="7">+I9+F9+G9</f>
        <v>376.66666666666663</v>
      </c>
      <c r="K9" s="419">
        <f>+IF(I9+E9+H9&gt;$K$7,$K$7,E9+H9+I9)</f>
        <v>326.89333333333332</v>
      </c>
      <c r="L9" s="420"/>
    </row>
    <row r="10" spans="1:13" ht="15">
      <c r="A10" s="321">
        <v>3</v>
      </c>
      <c r="B10" s="321">
        <v>12</v>
      </c>
      <c r="C10" s="329">
        <f t="shared" si="1"/>
        <v>6.19</v>
      </c>
      <c r="D10" s="329">
        <f t="shared" si="2"/>
        <v>20.64</v>
      </c>
      <c r="E10" s="329">
        <f t="shared" si="3"/>
        <v>26.830000000000002</v>
      </c>
      <c r="F10" s="329">
        <f t="shared" si="4"/>
        <v>43.333333333333336</v>
      </c>
      <c r="G10" s="329">
        <f t="shared" si="5"/>
        <v>0</v>
      </c>
      <c r="H10" s="329">
        <f t="shared" si="6"/>
        <v>-32.24</v>
      </c>
      <c r="I10" s="330">
        <f t="shared" si="0"/>
        <v>333.33333333333331</v>
      </c>
      <c r="J10" s="418">
        <f t="shared" si="7"/>
        <v>376.66666666666663</v>
      </c>
      <c r="K10" s="331">
        <f>+IF(I10+E10+H10&gt;$K$7,$K$7,E10+H10+I10)</f>
        <v>327.92333333333329</v>
      </c>
    </row>
    <row r="11" spans="1:13" ht="15">
      <c r="A11" s="321">
        <v>4</v>
      </c>
      <c r="B11" s="321">
        <v>12</v>
      </c>
      <c r="C11" s="329">
        <f t="shared" si="1"/>
        <v>6.19</v>
      </c>
      <c r="D11" s="329">
        <f t="shared" si="2"/>
        <v>20.64</v>
      </c>
      <c r="E11" s="329">
        <f t="shared" si="3"/>
        <v>26.830000000000002</v>
      </c>
      <c r="F11" s="329">
        <f t="shared" si="4"/>
        <v>43.333333333333336</v>
      </c>
      <c r="G11" s="329">
        <f t="shared" si="5"/>
        <v>0</v>
      </c>
      <c r="H11" s="329">
        <f t="shared" si="6"/>
        <v>-32.24</v>
      </c>
      <c r="I11" s="330">
        <f t="shared" si="0"/>
        <v>333.33333333333331</v>
      </c>
      <c r="J11" s="418">
        <f t="shared" si="7"/>
        <v>376.66666666666663</v>
      </c>
      <c r="K11" s="331">
        <f t="shared" ref="K11:K27" si="8">+IF(I11+E11+H11&gt;$K$7,$K$7,E11+H11+I11)</f>
        <v>327.92333333333329</v>
      </c>
    </row>
    <row r="12" spans="1:13" ht="15">
      <c r="A12" s="321">
        <v>5</v>
      </c>
      <c r="B12" s="321">
        <v>14</v>
      </c>
      <c r="C12" s="329">
        <f t="shared" si="1"/>
        <v>7.22</v>
      </c>
      <c r="D12" s="329">
        <f t="shared" si="2"/>
        <v>20.64</v>
      </c>
      <c r="E12" s="329">
        <f t="shared" si="3"/>
        <v>27.86</v>
      </c>
      <c r="F12" s="329">
        <f t="shared" si="4"/>
        <v>43.333333333333336</v>
      </c>
      <c r="G12" s="329">
        <f t="shared" si="5"/>
        <v>0</v>
      </c>
      <c r="H12" s="329">
        <f t="shared" si="6"/>
        <v>-32.24</v>
      </c>
      <c r="I12" s="330">
        <f t="shared" si="0"/>
        <v>333.33333333333331</v>
      </c>
      <c r="J12" s="418">
        <f t="shared" si="7"/>
        <v>376.66666666666663</v>
      </c>
      <c r="K12" s="331">
        <f t="shared" si="8"/>
        <v>328.95333333333332</v>
      </c>
    </row>
    <row r="13" spans="1:13" ht="15">
      <c r="A13" s="321">
        <v>6</v>
      </c>
      <c r="B13" s="321">
        <v>14</v>
      </c>
      <c r="C13" s="329">
        <f t="shared" si="1"/>
        <v>7.22</v>
      </c>
      <c r="D13" s="329">
        <f t="shared" si="2"/>
        <v>20.64</v>
      </c>
      <c r="E13" s="329">
        <f t="shared" si="3"/>
        <v>27.86</v>
      </c>
      <c r="F13" s="329">
        <f t="shared" si="4"/>
        <v>43.333333333333336</v>
      </c>
      <c r="G13" s="329">
        <f t="shared" si="5"/>
        <v>0</v>
      </c>
      <c r="H13" s="329">
        <f t="shared" si="6"/>
        <v>-32.24</v>
      </c>
      <c r="I13" s="330">
        <f t="shared" si="0"/>
        <v>333.33333333333331</v>
      </c>
      <c r="J13" s="418">
        <f t="shared" si="7"/>
        <v>376.66666666666663</v>
      </c>
      <c r="K13" s="331">
        <f t="shared" si="8"/>
        <v>328.95333333333332</v>
      </c>
    </row>
    <row r="14" spans="1:13" ht="15">
      <c r="A14" s="321">
        <v>7</v>
      </c>
      <c r="B14" s="321">
        <v>16</v>
      </c>
      <c r="C14" s="329">
        <f t="shared" si="1"/>
        <v>8.26</v>
      </c>
      <c r="D14" s="329">
        <f t="shared" si="2"/>
        <v>20.64</v>
      </c>
      <c r="E14" s="329">
        <f t="shared" si="3"/>
        <v>28.9</v>
      </c>
      <c r="F14" s="329">
        <f t="shared" si="4"/>
        <v>43.333333333333336</v>
      </c>
      <c r="G14" s="329">
        <f t="shared" si="5"/>
        <v>0</v>
      </c>
      <c r="H14" s="329">
        <f t="shared" si="6"/>
        <v>-32.24</v>
      </c>
      <c r="I14" s="330">
        <f t="shared" si="0"/>
        <v>333.33333333333331</v>
      </c>
      <c r="J14" s="418">
        <f t="shared" si="7"/>
        <v>376.66666666666663</v>
      </c>
      <c r="K14" s="331">
        <f t="shared" si="8"/>
        <v>329.99333333333334</v>
      </c>
    </row>
    <row r="15" spans="1:13" ht="15">
      <c r="A15" s="321">
        <v>8</v>
      </c>
      <c r="B15" s="321">
        <v>16</v>
      </c>
      <c r="C15" s="329">
        <f t="shared" si="1"/>
        <v>8.26</v>
      </c>
      <c r="D15" s="329">
        <f t="shared" si="2"/>
        <v>20.64</v>
      </c>
      <c r="E15" s="329">
        <f t="shared" si="3"/>
        <v>28.9</v>
      </c>
      <c r="F15" s="329">
        <f t="shared" si="4"/>
        <v>43.333333333333336</v>
      </c>
      <c r="G15" s="329">
        <f t="shared" si="5"/>
        <v>0</v>
      </c>
      <c r="H15" s="329">
        <f t="shared" si="6"/>
        <v>-32.24</v>
      </c>
      <c r="I15" s="330">
        <f t="shared" si="0"/>
        <v>333.33333333333331</v>
      </c>
      <c r="J15" s="418">
        <f t="shared" si="7"/>
        <v>376.66666666666663</v>
      </c>
      <c r="K15" s="331">
        <f t="shared" si="8"/>
        <v>329.99333333333334</v>
      </c>
    </row>
    <row r="16" spans="1:13" ht="15">
      <c r="A16" s="321">
        <v>9</v>
      </c>
      <c r="B16" s="321">
        <v>18</v>
      </c>
      <c r="C16" s="329">
        <f t="shared" si="1"/>
        <v>9.2899999999999991</v>
      </c>
      <c r="D16" s="329">
        <f t="shared" si="2"/>
        <v>20.64</v>
      </c>
      <c r="E16" s="329">
        <f t="shared" si="3"/>
        <v>29.93</v>
      </c>
      <c r="F16" s="329">
        <f t="shared" si="4"/>
        <v>43.333333333333336</v>
      </c>
      <c r="G16" s="329">
        <f t="shared" si="5"/>
        <v>0</v>
      </c>
      <c r="H16" s="329">
        <f t="shared" si="6"/>
        <v>-32.24</v>
      </c>
      <c r="I16" s="330">
        <f t="shared" si="0"/>
        <v>333.33333333333331</v>
      </c>
      <c r="J16" s="418">
        <f t="shared" si="7"/>
        <v>376.66666666666663</v>
      </c>
      <c r="K16" s="331">
        <f t="shared" si="8"/>
        <v>331.02333333333331</v>
      </c>
    </row>
    <row r="17" spans="1:11" ht="15">
      <c r="A17" s="321">
        <v>10</v>
      </c>
      <c r="B17" s="321">
        <v>18</v>
      </c>
      <c r="C17" s="329">
        <f t="shared" si="1"/>
        <v>9.2899999999999991</v>
      </c>
      <c r="D17" s="329">
        <f t="shared" si="2"/>
        <v>20.64</v>
      </c>
      <c r="E17" s="329">
        <f t="shared" si="3"/>
        <v>29.93</v>
      </c>
      <c r="F17" s="329">
        <f t="shared" si="4"/>
        <v>43.333333333333336</v>
      </c>
      <c r="G17" s="329">
        <f t="shared" si="5"/>
        <v>0</v>
      </c>
      <c r="H17" s="329">
        <f t="shared" si="6"/>
        <v>-32.24</v>
      </c>
      <c r="I17" s="330">
        <f t="shared" si="0"/>
        <v>333.33333333333331</v>
      </c>
      <c r="J17" s="418">
        <f t="shared" si="7"/>
        <v>376.66666666666663</v>
      </c>
      <c r="K17" s="331">
        <f t="shared" si="8"/>
        <v>331.02333333333331</v>
      </c>
    </row>
    <row r="18" spans="1:11" ht="15">
      <c r="A18" s="321">
        <v>11</v>
      </c>
      <c r="B18" s="321">
        <v>20</v>
      </c>
      <c r="C18" s="329">
        <f t="shared" si="1"/>
        <v>10.32</v>
      </c>
      <c r="D18" s="329">
        <f t="shared" si="2"/>
        <v>20.64</v>
      </c>
      <c r="E18" s="329">
        <f t="shared" si="3"/>
        <v>30.96</v>
      </c>
      <c r="F18" s="329">
        <f t="shared" si="4"/>
        <v>43.333333333333336</v>
      </c>
      <c r="G18" s="329">
        <f t="shared" si="5"/>
        <v>0</v>
      </c>
      <c r="H18" s="329">
        <f t="shared" si="6"/>
        <v>-32.24</v>
      </c>
      <c r="I18" s="330">
        <f t="shared" si="0"/>
        <v>333.33333333333331</v>
      </c>
      <c r="J18" s="418">
        <f t="shared" si="7"/>
        <v>376.66666666666663</v>
      </c>
      <c r="K18" s="331">
        <f t="shared" si="8"/>
        <v>332.05333333333328</v>
      </c>
    </row>
    <row r="19" spans="1:11" ht="15">
      <c r="A19" s="321">
        <v>12</v>
      </c>
      <c r="B19" s="321">
        <v>20</v>
      </c>
      <c r="C19" s="329">
        <f t="shared" si="1"/>
        <v>10.32</v>
      </c>
      <c r="D19" s="329">
        <f t="shared" si="2"/>
        <v>20.64</v>
      </c>
      <c r="E19" s="329">
        <f t="shared" si="3"/>
        <v>30.96</v>
      </c>
      <c r="F19" s="329">
        <f t="shared" si="4"/>
        <v>43.333333333333336</v>
      </c>
      <c r="G19" s="329">
        <f t="shared" si="5"/>
        <v>0</v>
      </c>
      <c r="H19" s="329">
        <f t="shared" si="6"/>
        <v>-32.24</v>
      </c>
      <c r="I19" s="330">
        <f t="shared" si="0"/>
        <v>333.33333333333331</v>
      </c>
      <c r="J19" s="418">
        <f t="shared" si="7"/>
        <v>376.66666666666663</v>
      </c>
      <c r="K19" s="331">
        <f t="shared" si="8"/>
        <v>332.05333333333328</v>
      </c>
    </row>
    <row r="20" spans="1:11" ht="15">
      <c r="A20" s="321">
        <v>13</v>
      </c>
      <c r="B20" s="321">
        <v>20</v>
      </c>
      <c r="C20" s="329">
        <f t="shared" si="1"/>
        <v>10.32</v>
      </c>
      <c r="D20" s="329">
        <f t="shared" si="2"/>
        <v>20.64</v>
      </c>
      <c r="E20" s="329">
        <f t="shared" si="3"/>
        <v>30.96</v>
      </c>
      <c r="F20" s="329">
        <f t="shared" si="4"/>
        <v>43.333333333333336</v>
      </c>
      <c r="G20" s="329">
        <f t="shared" si="5"/>
        <v>0</v>
      </c>
      <c r="H20" s="329">
        <f t="shared" si="6"/>
        <v>-32.24</v>
      </c>
      <c r="I20" s="330">
        <f t="shared" si="0"/>
        <v>333.33333333333331</v>
      </c>
      <c r="J20" s="418">
        <f t="shared" si="7"/>
        <v>376.66666666666663</v>
      </c>
      <c r="K20" s="331">
        <f t="shared" si="8"/>
        <v>332.05333333333328</v>
      </c>
    </row>
    <row r="21" spans="1:11" ht="15">
      <c r="A21" s="321">
        <v>14</v>
      </c>
      <c r="B21" s="321">
        <v>20</v>
      </c>
      <c r="C21" s="329">
        <f t="shared" si="1"/>
        <v>10.32</v>
      </c>
      <c r="D21" s="329">
        <f t="shared" si="2"/>
        <v>20.64</v>
      </c>
      <c r="E21" s="329">
        <f t="shared" si="3"/>
        <v>30.96</v>
      </c>
      <c r="F21" s="329">
        <f t="shared" si="4"/>
        <v>43.333333333333336</v>
      </c>
      <c r="G21" s="329">
        <f t="shared" si="5"/>
        <v>0</v>
      </c>
      <c r="H21" s="329">
        <f t="shared" si="6"/>
        <v>-32.24</v>
      </c>
      <c r="I21" s="330">
        <f t="shared" si="0"/>
        <v>333.33333333333331</v>
      </c>
      <c r="J21" s="418">
        <f t="shared" si="7"/>
        <v>376.66666666666663</v>
      </c>
      <c r="K21" s="331">
        <f t="shared" si="8"/>
        <v>332.05333333333328</v>
      </c>
    </row>
    <row r="22" spans="1:11" ht="15">
      <c r="A22" s="321">
        <v>15</v>
      </c>
      <c r="B22" s="321">
        <v>20</v>
      </c>
      <c r="C22" s="329">
        <f t="shared" si="1"/>
        <v>10.32</v>
      </c>
      <c r="D22" s="329">
        <f t="shared" si="2"/>
        <v>20.64</v>
      </c>
      <c r="E22" s="329">
        <f t="shared" si="3"/>
        <v>30.96</v>
      </c>
      <c r="F22" s="329">
        <f t="shared" si="4"/>
        <v>43.333333333333336</v>
      </c>
      <c r="G22" s="329">
        <f t="shared" si="5"/>
        <v>0</v>
      </c>
      <c r="H22" s="329">
        <f t="shared" si="6"/>
        <v>-32.24</v>
      </c>
      <c r="I22" s="330">
        <f t="shared" si="0"/>
        <v>333.33333333333331</v>
      </c>
      <c r="J22" s="418">
        <f t="shared" si="7"/>
        <v>376.66666666666663</v>
      </c>
      <c r="K22" s="331">
        <f t="shared" si="8"/>
        <v>332.05333333333328</v>
      </c>
    </row>
    <row r="23" spans="1:11" ht="15">
      <c r="A23" s="321">
        <v>16</v>
      </c>
      <c r="B23" s="321">
        <v>22</v>
      </c>
      <c r="C23" s="329">
        <f t="shared" si="1"/>
        <v>11.35</v>
      </c>
      <c r="D23" s="329">
        <f t="shared" si="2"/>
        <v>20.64</v>
      </c>
      <c r="E23" s="329">
        <f t="shared" si="3"/>
        <v>31.990000000000002</v>
      </c>
      <c r="F23" s="329">
        <f t="shared" si="4"/>
        <v>43.333333333333336</v>
      </c>
      <c r="G23" s="329">
        <f t="shared" si="5"/>
        <v>0</v>
      </c>
      <c r="H23" s="329">
        <f t="shared" si="6"/>
        <v>-32.24</v>
      </c>
      <c r="I23" s="330">
        <f t="shared" si="0"/>
        <v>333.33333333333331</v>
      </c>
      <c r="J23" s="418">
        <f t="shared" si="7"/>
        <v>376.66666666666663</v>
      </c>
      <c r="K23" s="331">
        <f t="shared" si="8"/>
        <v>333.08333333333331</v>
      </c>
    </row>
    <row r="24" spans="1:11" ht="15">
      <c r="A24" s="321">
        <v>17</v>
      </c>
      <c r="B24" s="321">
        <v>22</v>
      </c>
      <c r="C24" s="329">
        <f t="shared" si="1"/>
        <v>11.35</v>
      </c>
      <c r="D24" s="329">
        <f t="shared" si="2"/>
        <v>20.64</v>
      </c>
      <c r="E24" s="329">
        <f t="shared" si="3"/>
        <v>31.990000000000002</v>
      </c>
      <c r="F24" s="329">
        <f t="shared" si="4"/>
        <v>43.333333333333336</v>
      </c>
      <c r="G24" s="329">
        <f t="shared" si="5"/>
        <v>0</v>
      </c>
      <c r="H24" s="329">
        <f t="shared" si="6"/>
        <v>-32.24</v>
      </c>
      <c r="I24" s="330">
        <f t="shared" si="0"/>
        <v>333.33333333333331</v>
      </c>
      <c r="J24" s="418">
        <f t="shared" si="7"/>
        <v>376.66666666666663</v>
      </c>
      <c r="K24" s="331">
        <f t="shared" si="8"/>
        <v>333.08333333333331</v>
      </c>
    </row>
    <row r="25" spans="1:11" ht="15">
      <c r="A25" s="321">
        <v>18</v>
      </c>
      <c r="B25" s="321">
        <v>22</v>
      </c>
      <c r="C25" s="329">
        <f t="shared" si="1"/>
        <v>11.35</v>
      </c>
      <c r="D25" s="329">
        <f t="shared" si="2"/>
        <v>20.64</v>
      </c>
      <c r="E25" s="329">
        <f t="shared" si="3"/>
        <v>31.990000000000002</v>
      </c>
      <c r="F25" s="329">
        <f t="shared" si="4"/>
        <v>43.333333333333336</v>
      </c>
      <c r="G25" s="329">
        <f t="shared" si="5"/>
        <v>0</v>
      </c>
      <c r="H25" s="329">
        <f t="shared" si="6"/>
        <v>-32.24</v>
      </c>
      <c r="I25" s="330">
        <f t="shared" si="0"/>
        <v>333.33333333333331</v>
      </c>
      <c r="J25" s="418">
        <f t="shared" si="7"/>
        <v>376.66666666666663</v>
      </c>
      <c r="K25" s="331">
        <f t="shared" si="8"/>
        <v>333.08333333333331</v>
      </c>
    </row>
    <row r="26" spans="1:11" ht="15">
      <c r="A26" s="321">
        <v>19</v>
      </c>
      <c r="B26" s="321">
        <v>22</v>
      </c>
      <c r="C26" s="329">
        <f t="shared" si="1"/>
        <v>11.35</v>
      </c>
      <c r="D26" s="329">
        <f t="shared" si="2"/>
        <v>20.64</v>
      </c>
      <c r="E26" s="329">
        <f t="shared" si="3"/>
        <v>31.990000000000002</v>
      </c>
      <c r="F26" s="329">
        <f t="shared" si="4"/>
        <v>43.333333333333336</v>
      </c>
      <c r="G26" s="329">
        <f t="shared" si="5"/>
        <v>0</v>
      </c>
      <c r="H26" s="329">
        <f t="shared" si="6"/>
        <v>-32.24</v>
      </c>
      <c r="I26" s="330">
        <f t="shared" si="0"/>
        <v>333.33333333333331</v>
      </c>
      <c r="J26" s="418">
        <f t="shared" si="7"/>
        <v>376.66666666666663</v>
      </c>
      <c r="K26" s="331">
        <f t="shared" si="8"/>
        <v>333.08333333333331</v>
      </c>
    </row>
    <row r="27" spans="1:11" ht="15">
      <c r="A27" s="321">
        <v>20</v>
      </c>
      <c r="B27" s="321">
        <v>22</v>
      </c>
      <c r="C27" s="329">
        <f t="shared" si="1"/>
        <v>11.35</v>
      </c>
      <c r="D27" s="329">
        <f t="shared" si="2"/>
        <v>20.64</v>
      </c>
      <c r="E27" s="329">
        <f t="shared" si="3"/>
        <v>31.990000000000002</v>
      </c>
      <c r="F27" s="329">
        <f t="shared" si="4"/>
        <v>43.333333333333336</v>
      </c>
      <c r="G27" s="329">
        <f t="shared" si="5"/>
        <v>0</v>
      </c>
      <c r="H27" s="329">
        <f t="shared" si="6"/>
        <v>-32.24</v>
      </c>
      <c r="I27" s="330">
        <f t="shared" si="0"/>
        <v>333.33333333333331</v>
      </c>
      <c r="J27" s="418">
        <f t="shared" si="7"/>
        <v>376.66666666666663</v>
      </c>
      <c r="K27" s="331">
        <f t="shared" si="8"/>
        <v>333.08333333333331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3"/>
  <dimension ref="A1:N27"/>
  <sheetViews>
    <sheetView workbookViewId="0">
      <selection activeCell="G1" sqref="G1"/>
    </sheetView>
  </sheetViews>
  <sheetFormatPr baseColWidth="10" defaultRowHeight="12.75"/>
  <cols>
    <col min="1" max="1" width="9.85546875" bestFit="1" customWidth="1"/>
    <col min="2" max="2" width="15.42578125" bestFit="1" customWidth="1"/>
    <col min="3" max="4" width="15.42578125" style="42" customWidth="1"/>
    <col min="5" max="5" width="13.28515625" style="42" bestFit="1" customWidth="1"/>
    <col min="6" max="6" width="13.140625" style="42" customWidth="1"/>
    <col min="7" max="7" width="13.42578125" style="42" customWidth="1"/>
    <col min="8" max="8" width="13.7109375" style="42" bestFit="1" customWidth="1"/>
    <col min="9" max="9" width="12.7109375" bestFit="1" customWidth="1"/>
    <col min="10" max="10" width="10.42578125" bestFit="1" customWidth="1"/>
    <col min="12" max="12" width="15.28515625" bestFit="1" customWidth="1"/>
    <col min="13" max="13" width="14.85546875" bestFit="1" customWidth="1"/>
  </cols>
  <sheetData>
    <row r="1" spans="1:14" ht="18.75">
      <c r="A1" s="313" t="s">
        <v>158</v>
      </c>
      <c r="F1" s="314">
        <f>+K4*1.3*30.4</f>
        <v>3185.3119999999999</v>
      </c>
      <c r="G1" s="315">
        <v>2433</v>
      </c>
    </row>
    <row r="2" spans="1:14" ht="15">
      <c r="A2" s="316" t="s">
        <v>138</v>
      </c>
      <c r="F2" s="314">
        <f>+IF(C4*$F$7&gt;F1,F1,C4*$F$7)</f>
        <v>1300</v>
      </c>
      <c r="G2" s="315">
        <f>+IF(C4*G7&gt;G1,G1,C4*G7)</f>
        <v>1700.0000000000002</v>
      </c>
      <c r="H2" s="315">
        <f>+K4*0.4*30</f>
        <v>967.2</v>
      </c>
    </row>
    <row r="3" spans="1:14">
      <c r="A3" s="317"/>
    </row>
    <row r="4" spans="1:14" ht="15">
      <c r="A4" s="318" t="s">
        <v>110</v>
      </c>
      <c r="B4" s="318"/>
      <c r="C4" s="319">
        <f>+FINIQUITO!B19</f>
        <v>10000</v>
      </c>
      <c r="E4" s="303"/>
      <c r="J4" s="320" t="s">
        <v>139</v>
      </c>
      <c r="K4" s="415">
        <f>'S. Paquete T 2'!K4</f>
        <v>80.599999999999994</v>
      </c>
    </row>
    <row r="6" spans="1:14" ht="15">
      <c r="A6" s="321" t="s">
        <v>140</v>
      </c>
      <c r="B6" s="322" t="s">
        <v>141</v>
      </c>
      <c r="C6" s="323" t="s">
        <v>142</v>
      </c>
      <c r="D6" s="323" t="s">
        <v>132</v>
      </c>
      <c r="E6" s="324" t="s">
        <v>143</v>
      </c>
      <c r="F6" s="324" t="s">
        <v>120</v>
      </c>
      <c r="G6" s="323" t="s">
        <v>119</v>
      </c>
      <c r="H6" s="323" t="s">
        <v>144</v>
      </c>
      <c r="I6" s="325" t="s">
        <v>145</v>
      </c>
      <c r="J6" s="325" t="s">
        <v>146</v>
      </c>
      <c r="K6" s="325" t="s">
        <v>147</v>
      </c>
      <c r="M6" s="416" t="s">
        <v>159</v>
      </c>
    </row>
    <row r="7" spans="1:14" ht="15">
      <c r="A7" s="326"/>
      <c r="B7" s="326"/>
      <c r="C7" s="327">
        <v>0.5</v>
      </c>
      <c r="D7" s="327">
        <v>20</v>
      </c>
      <c r="E7" s="55"/>
      <c r="F7" s="328">
        <v>0.13</v>
      </c>
      <c r="G7" s="328">
        <v>0.17</v>
      </c>
      <c r="I7" s="197"/>
      <c r="J7" s="197"/>
      <c r="K7" s="315">
        <f>+K4*25</f>
        <v>2014.9999999999998</v>
      </c>
    </row>
    <row r="8" spans="1:14" ht="15">
      <c r="A8" s="321">
        <v>1</v>
      </c>
      <c r="B8" s="321">
        <v>10</v>
      </c>
      <c r="C8" s="329">
        <f>+ROUND((B8*$C$7/365)*J8,2)</f>
        <v>5.94</v>
      </c>
      <c r="D8" s="329">
        <f>+ROUND(($D$7/365)*J8,2)</f>
        <v>23.74</v>
      </c>
      <c r="E8" s="329">
        <f>+C8+D8</f>
        <v>29.68</v>
      </c>
      <c r="F8" s="329">
        <f t="shared" ref="F8:F27" si="0">+IF($C$4*$F$7&gt;$F$1,ROUND($F$1/30,2),$F$2/30)</f>
        <v>43.333333333333336</v>
      </c>
      <c r="G8" s="329">
        <f t="shared" ref="G8:G27" si="1">+IF($C$4*$G$7&gt;$G$1,ROUND($G$1/30,2),$G$2/30)</f>
        <v>56.666666666666671</v>
      </c>
      <c r="H8" s="329">
        <f>+IF($G$2&lt;$G$1,$G$2-$H$2,$G$1-$H$2)/30</f>
        <v>24.426666666666673</v>
      </c>
      <c r="I8" s="330">
        <f t="shared" ref="I8:I27" si="2">+$C$4/30</f>
        <v>333.33333333333331</v>
      </c>
      <c r="J8" s="418">
        <f>+I8+F8+G8</f>
        <v>433.33333333333331</v>
      </c>
      <c r="K8" s="419">
        <f>+IF(I8+E8+H8&gt;$K$7,$K$7,E8+H8+I8)</f>
        <v>387.44</v>
      </c>
      <c r="L8" s="420" t="s">
        <v>160</v>
      </c>
      <c r="N8" s="420"/>
    </row>
    <row r="9" spans="1:14" ht="15">
      <c r="A9" s="321">
        <v>2</v>
      </c>
      <c r="B9" s="321">
        <v>10</v>
      </c>
      <c r="C9" s="329">
        <f t="shared" ref="C9:C27" si="3">+ROUND((B9*$C$7/365)*J9,2)</f>
        <v>5.94</v>
      </c>
      <c r="D9" s="329">
        <f t="shared" ref="D9:D27" si="4">+ROUND(($D$7/365)*J9,2)</f>
        <v>23.74</v>
      </c>
      <c r="E9" s="329">
        <f t="shared" ref="E9:E27" si="5">+C9+D9</f>
        <v>29.68</v>
      </c>
      <c r="F9" s="329">
        <f t="shared" si="0"/>
        <v>43.333333333333336</v>
      </c>
      <c r="G9" s="329">
        <f t="shared" si="1"/>
        <v>56.666666666666671</v>
      </c>
      <c r="H9" s="329">
        <f t="shared" ref="H9:H27" si="6">+IF($G$2&lt;$G$1,$G$2-$H$2,$G$1-$H$2)/30</f>
        <v>24.426666666666673</v>
      </c>
      <c r="I9" s="330">
        <f t="shared" si="2"/>
        <v>333.33333333333331</v>
      </c>
      <c r="J9" s="418">
        <f t="shared" ref="J9:J27" si="7">+I9+F9+G9</f>
        <v>433.33333333333331</v>
      </c>
      <c r="K9" s="419">
        <f>+IF(I9+E9+H9&gt;$K$7,$K$7,E9+H9+I9)</f>
        <v>387.44</v>
      </c>
      <c r="L9" s="420"/>
    </row>
    <row r="10" spans="1:14" ht="15">
      <c r="A10" s="321">
        <v>3</v>
      </c>
      <c r="B10" s="321">
        <v>14</v>
      </c>
      <c r="C10" s="329">
        <f t="shared" si="3"/>
        <v>8.31</v>
      </c>
      <c r="D10" s="329">
        <f t="shared" si="4"/>
        <v>23.74</v>
      </c>
      <c r="E10" s="329">
        <f t="shared" si="5"/>
        <v>32.049999999999997</v>
      </c>
      <c r="F10" s="329">
        <f t="shared" si="0"/>
        <v>43.333333333333336</v>
      </c>
      <c r="G10" s="329">
        <f t="shared" si="1"/>
        <v>56.666666666666671</v>
      </c>
      <c r="H10" s="329">
        <f t="shared" si="6"/>
        <v>24.426666666666673</v>
      </c>
      <c r="I10" s="330">
        <f t="shared" si="2"/>
        <v>333.33333333333331</v>
      </c>
      <c r="J10" s="418">
        <f t="shared" si="7"/>
        <v>433.33333333333331</v>
      </c>
      <c r="K10" s="331">
        <f>+IF(I10+E10+H10&gt;$K$7,$K$7,E10+H10+I10)</f>
        <v>389.81</v>
      </c>
    </row>
    <row r="11" spans="1:14" ht="15">
      <c r="A11" s="321">
        <v>4</v>
      </c>
      <c r="B11" s="321">
        <v>14</v>
      </c>
      <c r="C11" s="329">
        <f>+ROUND((B11*$C$7/365)*J11,2)</f>
        <v>8.31</v>
      </c>
      <c r="D11" s="329">
        <f t="shared" si="4"/>
        <v>23.74</v>
      </c>
      <c r="E11" s="329">
        <f t="shared" si="5"/>
        <v>32.049999999999997</v>
      </c>
      <c r="F11" s="329">
        <f t="shared" si="0"/>
        <v>43.333333333333336</v>
      </c>
      <c r="G11" s="329">
        <f t="shared" si="1"/>
        <v>56.666666666666671</v>
      </c>
      <c r="H11" s="329">
        <f t="shared" si="6"/>
        <v>24.426666666666673</v>
      </c>
      <c r="I11" s="330">
        <f>+$C$4/30</f>
        <v>333.33333333333331</v>
      </c>
      <c r="J11" s="418">
        <f t="shared" si="7"/>
        <v>433.33333333333331</v>
      </c>
      <c r="K11" s="331">
        <f t="shared" ref="K11:K27" si="8">+IF(I11+E11+H11&gt;$K$7,$K$7,E11+H11+I11)</f>
        <v>389.81</v>
      </c>
    </row>
    <row r="12" spans="1:14" ht="15">
      <c r="A12" s="321">
        <v>5</v>
      </c>
      <c r="B12" s="321">
        <v>20</v>
      </c>
      <c r="C12" s="329">
        <f t="shared" si="3"/>
        <v>11.87</v>
      </c>
      <c r="D12" s="329">
        <f t="shared" si="4"/>
        <v>23.74</v>
      </c>
      <c r="E12" s="329">
        <f t="shared" si="5"/>
        <v>35.61</v>
      </c>
      <c r="F12" s="329">
        <f t="shared" si="0"/>
        <v>43.333333333333336</v>
      </c>
      <c r="G12" s="329">
        <f t="shared" si="1"/>
        <v>56.666666666666671</v>
      </c>
      <c r="H12" s="329">
        <f t="shared" si="6"/>
        <v>24.426666666666673</v>
      </c>
      <c r="I12" s="330">
        <f t="shared" si="2"/>
        <v>333.33333333333331</v>
      </c>
      <c r="J12" s="418">
        <f t="shared" si="7"/>
        <v>433.33333333333331</v>
      </c>
      <c r="K12" s="331">
        <f t="shared" si="8"/>
        <v>393.37</v>
      </c>
    </row>
    <row r="13" spans="1:14" ht="15">
      <c r="A13" s="321">
        <v>6</v>
      </c>
      <c r="B13" s="321">
        <v>20</v>
      </c>
      <c r="C13" s="329">
        <f t="shared" si="3"/>
        <v>11.87</v>
      </c>
      <c r="D13" s="329">
        <f t="shared" si="4"/>
        <v>23.74</v>
      </c>
      <c r="E13" s="329">
        <f t="shared" si="5"/>
        <v>35.61</v>
      </c>
      <c r="F13" s="329">
        <f t="shared" si="0"/>
        <v>43.333333333333336</v>
      </c>
      <c r="G13" s="329">
        <f t="shared" si="1"/>
        <v>56.666666666666671</v>
      </c>
      <c r="H13" s="329">
        <f t="shared" si="6"/>
        <v>24.426666666666673</v>
      </c>
      <c r="I13" s="330">
        <f t="shared" si="2"/>
        <v>333.33333333333331</v>
      </c>
      <c r="J13" s="418">
        <f t="shared" si="7"/>
        <v>433.33333333333331</v>
      </c>
      <c r="K13" s="331">
        <f t="shared" si="8"/>
        <v>393.37</v>
      </c>
    </row>
    <row r="14" spans="1:14" ht="15">
      <c r="A14" s="321">
        <v>7</v>
      </c>
      <c r="B14" s="321">
        <v>20</v>
      </c>
      <c r="C14" s="329">
        <f t="shared" si="3"/>
        <v>11.87</v>
      </c>
      <c r="D14" s="329">
        <f t="shared" si="4"/>
        <v>23.74</v>
      </c>
      <c r="E14" s="329">
        <f t="shared" si="5"/>
        <v>35.61</v>
      </c>
      <c r="F14" s="329">
        <f t="shared" si="0"/>
        <v>43.333333333333336</v>
      </c>
      <c r="G14" s="329">
        <f t="shared" si="1"/>
        <v>56.666666666666671</v>
      </c>
      <c r="H14" s="329">
        <f t="shared" si="6"/>
        <v>24.426666666666673</v>
      </c>
      <c r="I14" s="330">
        <f t="shared" si="2"/>
        <v>333.33333333333331</v>
      </c>
      <c r="J14" s="418">
        <f t="shared" si="7"/>
        <v>433.33333333333331</v>
      </c>
      <c r="K14" s="331">
        <f t="shared" si="8"/>
        <v>393.37</v>
      </c>
    </row>
    <row r="15" spans="1:14" ht="15">
      <c r="A15" s="321">
        <v>8</v>
      </c>
      <c r="B15" s="321">
        <v>20</v>
      </c>
      <c r="C15" s="329">
        <f t="shared" si="3"/>
        <v>11.87</v>
      </c>
      <c r="D15" s="329">
        <f t="shared" si="4"/>
        <v>23.74</v>
      </c>
      <c r="E15" s="329">
        <f t="shared" si="5"/>
        <v>35.61</v>
      </c>
      <c r="F15" s="329">
        <f t="shared" si="0"/>
        <v>43.333333333333336</v>
      </c>
      <c r="G15" s="329">
        <f t="shared" si="1"/>
        <v>56.666666666666671</v>
      </c>
      <c r="H15" s="329">
        <f t="shared" si="6"/>
        <v>24.426666666666673</v>
      </c>
      <c r="I15" s="330">
        <f t="shared" si="2"/>
        <v>333.33333333333331</v>
      </c>
      <c r="J15" s="418">
        <f t="shared" si="7"/>
        <v>433.33333333333331</v>
      </c>
      <c r="K15" s="331">
        <f t="shared" si="8"/>
        <v>393.37</v>
      </c>
    </row>
    <row r="16" spans="1:14" ht="15">
      <c r="A16" s="321">
        <v>9</v>
      </c>
      <c r="B16" s="321">
        <v>20</v>
      </c>
      <c r="C16" s="329">
        <f t="shared" si="3"/>
        <v>11.87</v>
      </c>
      <c r="D16" s="329">
        <f t="shared" si="4"/>
        <v>23.74</v>
      </c>
      <c r="E16" s="329">
        <f t="shared" si="5"/>
        <v>35.61</v>
      </c>
      <c r="F16" s="329">
        <f t="shared" si="0"/>
        <v>43.333333333333336</v>
      </c>
      <c r="G16" s="329">
        <f t="shared" si="1"/>
        <v>56.666666666666671</v>
      </c>
      <c r="H16" s="329">
        <f t="shared" si="6"/>
        <v>24.426666666666673</v>
      </c>
      <c r="I16" s="330">
        <f t="shared" si="2"/>
        <v>333.33333333333331</v>
      </c>
      <c r="J16" s="418">
        <f t="shared" si="7"/>
        <v>433.33333333333331</v>
      </c>
      <c r="K16" s="331">
        <f t="shared" si="8"/>
        <v>393.37</v>
      </c>
    </row>
    <row r="17" spans="1:11" ht="15">
      <c r="A17" s="321">
        <v>10</v>
      </c>
      <c r="B17" s="321">
        <v>20</v>
      </c>
      <c r="C17" s="329">
        <f t="shared" si="3"/>
        <v>11.87</v>
      </c>
      <c r="D17" s="329">
        <f t="shared" si="4"/>
        <v>23.74</v>
      </c>
      <c r="E17" s="329">
        <f t="shared" si="5"/>
        <v>35.61</v>
      </c>
      <c r="F17" s="329">
        <f t="shared" si="0"/>
        <v>43.333333333333336</v>
      </c>
      <c r="G17" s="329">
        <f t="shared" si="1"/>
        <v>56.666666666666671</v>
      </c>
      <c r="H17" s="329">
        <f t="shared" si="6"/>
        <v>24.426666666666673</v>
      </c>
      <c r="I17" s="330">
        <f t="shared" si="2"/>
        <v>333.33333333333331</v>
      </c>
      <c r="J17" s="418">
        <f t="shared" si="7"/>
        <v>433.33333333333331</v>
      </c>
      <c r="K17" s="331">
        <f t="shared" si="8"/>
        <v>393.37</v>
      </c>
    </row>
    <row r="18" spans="1:11" ht="15">
      <c r="A18" s="321">
        <v>11</v>
      </c>
      <c r="B18" s="321">
        <v>20</v>
      </c>
      <c r="C18" s="329">
        <f t="shared" si="3"/>
        <v>11.87</v>
      </c>
      <c r="D18" s="329">
        <f t="shared" si="4"/>
        <v>23.74</v>
      </c>
      <c r="E18" s="329">
        <f t="shared" si="5"/>
        <v>35.61</v>
      </c>
      <c r="F18" s="329">
        <f t="shared" si="0"/>
        <v>43.333333333333336</v>
      </c>
      <c r="G18" s="329">
        <f t="shared" si="1"/>
        <v>56.666666666666671</v>
      </c>
      <c r="H18" s="329">
        <f t="shared" si="6"/>
        <v>24.426666666666673</v>
      </c>
      <c r="I18" s="330">
        <f t="shared" si="2"/>
        <v>333.33333333333331</v>
      </c>
      <c r="J18" s="418">
        <f t="shared" si="7"/>
        <v>433.33333333333331</v>
      </c>
      <c r="K18" s="331">
        <f t="shared" si="8"/>
        <v>393.37</v>
      </c>
    </row>
    <row r="19" spans="1:11" ht="15">
      <c r="A19" s="321">
        <v>12</v>
      </c>
      <c r="B19" s="321">
        <v>20</v>
      </c>
      <c r="C19" s="329">
        <f t="shared" si="3"/>
        <v>11.87</v>
      </c>
      <c r="D19" s="329">
        <f t="shared" si="4"/>
        <v>23.74</v>
      </c>
      <c r="E19" s="329">
        <f t="shared" si="5"/>
        <v>35.61</v>
      </c>
      <c r="F19" s="329">
        <f t="shared" si="0"/>
        <v>43.333333333333336</v>
      </c>
      <c r="G19" s="329">
        <f t="shared" si="1"/>
        <v>56.666666666666671</v>
      </c>
      <c r="H19" s="329">
        <f t="shared" si="6"/>
        <v>24.426666666666673</v>
      </c>
      <c r="I19" s="330">
        <f t="shared" si="2"/>
        <v>333.33333333333331</v>
      </c>
      <c r="J19" s="418">
        <f t="shared" si="7"/>
        <v>433.33333333333331</v>
      </c>
      <c r="K19" s="331">
        <f t="shared" si="8"/>
        <v>393.37</v>
      </c>
    </row>
    <row r="20" spans="1:11" ht="15">
      <c r="A20" s="321">
        <v>13</v>
      </c>
      <c r="B20" s="321">
        <v>20</v>
      </c>
      <c r="C20" s="329">
        <f t="shared" si="3"/>
        <v>11.87</v>
      </c>
      <c r="D20" s="329">
        <f t="shared" si="4"/>
        <v>23.74</v>
      </c>
      <c r="E20" s="329">
        <f t="shared" si="5"/>
        <v>35.61</v>
      </c>
      <c r="F20" s="329">
        <f t="shared" si="0"/>
        <v>43.333333333333336</v>
      </c>
      <c r="G20" s="329">
        <f t="shared" si="1"/>
        <v>56.666666666666671</v>
      </c>
      <c r="H20" s="329">
        <f t="shared" si="6"/>
        <v>24.426666666666673</v>
      </c>
      <c r="I20" s="330">
        <f t="shared" si="2"/>
        <v>333.33333333333331</v>
      </c>
      <c r="J20" s="418">
        <f t="shared" si="7"/>
        <v>433.33333333333331</v>
      </c>
      <c r="K20" s="331">
        <f t="shared" si="8"/>
        <v>393.37</v>
      </c>
    </row>
    <row r="21" spans="1:11" ht="15">
      <c r="A21" s="321">
        <v>14</v>
      </c>
      <c r="B21" s="321">
        <v>20</v>
      </c>
      <c r="C21" s="329">
        <f t="shared" si="3"/>
        <v>11.87</v>
      </c>
      <c r="D21" s="329">
        <f t="shared" si="4"/>
        <v>23.74</v>
      </c>
      <c r="E21" s="329">
        <f t="shared" si="5"/>
        <v>35.61</v>
      </c>
      <c r="F21" s="329">
        <f t="shared" si="0"/>
        <v>43.333333333333336</v>
      </c>
      <c r="G21" s="329">
        <f t="shared" si="1"/>
        <v>56.666666666666671</v>
      </c>
      <c r="H21" s="329">
        <f t="shared" si="6"/>
        <v>24.426666666666673</v>
      </c>
      <c r="I21" s="330">
        <f t="shared" si="2"/>
        <v>333.33333333333331</v>
      </c>
      <c r="J21" s="418">
        <f t="shared" si="7"/>
        <v>433.33333333333331</v>
      </c>
      <c r="K21" s="331">
        <f t="shared" si="8"/>
        <v>393.37</v>
      </c>
    </row>
    <row r="22" spans="1:11" ht="15">
      <c r="A22" s="321">
        <v>15</v>
      </c>
      <c r="B22" s="321">
        <v>20</v>
      </c>
      <c r="C22" s="329">
        <f t="shared" si="3"/>
        <v>11.87</v>
      </c>
      <c r="D22" s="329">
        <f t="shared" si="4"/>
        <v>23.74</v>
      </c>
      <c r="E22" s="329">
        <f t="shared" si="5"/>
        <v>35.61</v>
      </c>
      <c r="F22" s="329">
        <f t="shared" si="0"/>
        <v>43.333333333333336</v>
      </c>
      <c r="G22" s="329">
        <f t="shared" si="1"/>
        <v>56.666666666666671</v>
      </c>
      <c r="H22" s="329">
        <f t="shared" si="6"/>
        <v>24.426666666666673</v>
      </c>
      <c r="I22" s="330">
        <f t="shared" si="2"/>
        <v>333.33333333333331</v>
      </c>
      <c r="J22" s="418">
        <f t="shared" si="7"/>
        <v>433.33333333333331</v>
      </c>
      <c r="K22" s="331">
        <f t="shared" si="8"/>
        <v>393.37</v>
      </c>
    </row>
    <row r="23" spans="1:11" ht="15">
      <c r="A23" s="321">
        <v>16</v>
      </c>
      <c r="B23" s="321">
        <v>20</v>
      </c>
      <c r="C23" s="329">
        <f t="shared" si="3"/>
        <v>11.87</v>
      </c>
      <c r="D23" s="329">
        <f t="shared" si="4"/>
        <v>23.74</v>
      </c>
      <c r="E23" s="329">
        <f t="shared" si="5"/>
        <v>35.61</v>
      </c>
      <c r="F23" s="329">
        <f t="shared" si="0"/>
        <v>43.333333333333336</v>
      </c>
      <c r="G23" s="329">
        <f t="shared" si="1"/>
        <v>56.666666666666671</v>
      </c>
      <c r="H23" s="329">
        <f t="shared" si="6"/>
        <v>24.426666666666673</v>
      </c>
      <c r="I23" s="330">
        <f t="shared" si="2"/>
        <v>333.33333333333331</v>
      </c>
      <c r="J23" s="418">
        <f t="shared" si="7"/>
        <v>433.33333333333331</v>
      </c>
      <c r="K23" s="331">
        <f t="shared" si="8"/>
        <v>393.37</v>
      </c>
    </row>
    <row r="24" spans="1:11" ht="15">
      <c r="A24" s="321">
        <v>17</v>
      </c>
      <c r="B24" s="321">
        <v>20</v>
      </c>
      <c r="C24" s="329">
        <f t="shared" si="3"/>
        <v>11.87</v>
      </c>
      <c r="D24" s="329">
        <f t="shared" si="4"/>
        <v>23.74</v>
      </c>
      <c r="E24" s="329">
        <f t="shared" si="5"/>
        <v>35.61</v>
      </c>
      <c r="F24" s="329">
        <f t="shared" si="0"/>
        <v>43.333333333333336</v>
      </c>
      <c r="G24" s="329">
        <f t="shared" si="1"/>
        <v>56.666666666666671</v>
      </c>
      <c r="H24" s="329">
        <f t="shared" si="6"/>
        <v>24.426666666666673</v>
      </c>
      <c r="I24" s="330">
        <f t="shared" si="2"/>
        <v>333.33333333333331</v>
      </c>
      <c r="J24" s="418">
        <f t="shared" si="7"/>
        <v>433.33333333333331</v>
      </c>
      <c r="K24" s="331">
        <f t="shared" si="8"/>
        <v>393.37</v>
      </c>
    </row>
    <row r="25" spans="1:11" ht="15">
      <c r="A25" s="321">
        <v>18</v>
      </c>
      <c r="B25" s="321">
        <v>20</v>
      </c>
      <c r="C25" s="329">
        <f t="shared" si="3"/>
        <v>11.87</v>
      </c>
      <c r="D25" s="329">
        <f t="shared" si="4"/>
        <v>23.74</v>
      </c>
      <c r="E25" s="329">
        <f t="shared" si="5"/>
        <v>35.61</v>
      </c>
      <c r="F25" s="329">
        <f t="shared" si="0"/>
        <v>43.333333333333336</v>
      </c>
      <c r="G25" s="329">
        <f t="shared" si="1"/>
        <v>56.666666666666671</v>
      </c>
      <c r="H25" s="329">
        <f t="shared" si="6"/>
        <v>24.426666666666673</v>
      </c>
      <c r="I25" s="330">
        <f t="shared" si="2"/>
        <v>333.33333333333331</v>
      </c>
      <c r="J25" s="418">
        <f t="shared" si="7"/>
        <v>433.33333333333331</v>
      </c>
      <c r="K25" s="331">
        <f t="shared" si="8"/>
        <v>393.37</v>
      </c>
    </row>
    <row r="26" spans="1:11" ht="15">
      <c r="A26" s="321">
        <v>19</v>
      </c>
      <c r="B26" s="321">
        <v>20</v>
      </c>
      <c r="C26" s="329">
        <f t="shared" si="3"/>
        <v>11.87</v>
      </c>
      <c r="D26" s="329">
        <f t="shared" si="4"/>
        <v>23.74</v>
      </c>
      <c r="E26" s="329">
        <f t="shared" si="5"/>
        <v>35.61</v>
      </c>
      <c r="F26" s="329">
        <f t="shared" si="0"/>
        <v>43.333333333333336</v>
      </c>
      <c r="G26" s="329">
        <f t="shared" si="1"/>
        <v>56.666666666666671</v>
      </c>
      <c r="H26" s="329">
        <f t="shared" si="6"/>
        <v>24.426666666666673</v>
      </c>
      <c r="I26" s="330">
        <f t="shared" si="2"/>
        <v>333.33333333333331</v>
      </c>
      <c r="J26" s="418">
        <f t="shared" si="7"/>
        <v>433.33333333333331</v>
      </c>
      <c r="K26" s="331">
        <f t="shared" si="8"/>
        <v>393.37</v>
      </c>
    </row>
    <row r="27" spans="1:11" ht="15">
      <c r="A27" s="321">
        <v>20</v>
      </c>
      <c r="B27" s="321">
        <v>20</v>
      </c>
      <c r="C27" s="329">
        <f t="shared" si="3"/>
        <v>11.87</v>
      </c>
      <c r="D27" s="329">
        <f t="shared" si="4"/>
        <v>23.74</v>
      </c>
      <c r="E27" s="329">
        <f t="shared" si="5"/>
        <v>35.61</v>
      </c>
      <c r="F27" s="329">
        <f t="shared" si="0"/>
        <v>43.333333333333336</v>
      </c>
      <c r="G27" s="329">
        <f t="shared" si="1"/>
        <v>56.666666666666671</v>
      </c>
      <c r="H27" s="329">
        <f t="shared" si="6"/>
        <v>24.426666666666673</v>
      </c>
      <c r="I27" s="330">
        <f t="shared" si="2"/>
        <v>333.33333333333331</v>
      </c>
      <c r="J27" s="418">
        <f t="shared" si="7"/>
        <v>433.33333333333331</v>
      </c>
      <c r="K27" s="331">
        <f t="shared" si="8"/>
        <v>393.37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Formato</vt:lpstr>
      <vt:lpstr>FINIQUITO</vt:lpstr>
      <vt:lpstr>IMSS</vt:lpstr>
      <vt:lpstr>ISR</vt:lpstr>
      <vt:lpstr>SBC</vt:lpstr>
      <vt:lpstr>Tablas de Prestaciones</vt:lpstr>
      <vt:lpstr>S. Paquete T 2</vt:lpstr>
      <vt:lpstr>S. Paquete T 1</vt:lpstr>
      <vt:lpstr>FINIQUITO!Área_de_impresión</vt:lpstr>
      <vt:lpstr>Formato!Área_de_impresión</vt:lpstr>
      <vt:lpstr>IMSS!Área_de_impresión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FINIQUIITO DE FINITIVO</dc:title>
  <dc:creator>Gonzalez, Daisy (MX - Mexico)</dc:creator>
  <cp:lastModifiedBy>RunaHR</cp:lastModifiedBy>
  <cp:lastPrinted>2018-08-20T22:46:07Z</cp:lastPrinted>
  <dcterms:created xsi:type="dcterms:W3CDTF">1998-07-21T16:52:12Z</dcterms:created>
  <dcterms:modified xsi:type="dcterms:W3CDTF">2018-11-07T18:06:30Z</dcterms:modified>
</cp:coreProperties>
</file>